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36" windowWidth="15960" windowHeight="12816"/>
  </bookViews>
  <sheets>
    <sheet name="Calculations" sheetId="3" r:id="rId1"/>
    <sheet name="Body Corp Fees - Nov 2020" sheetId="4" r:id="rId2"/>
  </sheets>
  <calcPr calcId="125725"/>
</workbook>
</file>

<file path=xl/calcChain.xml><?xml version="1.0" encoding="utf-8"?>
<calcChain xmlns="http://schemas.openxmlformats.org/spreadsheetml/2006/main">
  <c r="N4" i="4"/>
  <c r="N7"/>
  <c r="I10" i="3"/>
  <c r="P70" i="4"/>
  <c r="P72" s="1"/>
  <c r="M65"/>
  <c r="M61"/>
  <c r="M56"/>
  <c r="M55"/>
  <c r="M49"/>
  <c r="M45"/>
  <c r="M43"/>
  <c r="M42"/>
  <c r="M40"/>
  <c r="F31"/>
  <c r="C31"/>
  <c r="N30"/>
  <c r="F30"/>
  <c r="E30"/>
  <c r="D30"/>
  <c r="F29"/>
  <c r="E29"/>
  <c r="D29"/>
  <c r="N28"/>
  <c r="F28"/>
  <c r="E28"/>
  <c r="D28"/>
  <c r="F27"/>
  <c r="E27"/>
  <c r="D27"/>
  <c r="N26"/>
  <c r="F26"/>
  <c r="E26"/>
  <c r="D26"/>
  <c r="F25"/>
  <c r="E25"/>
  <c r="D25"/>
  <c r="N24"/>
  <c r="F24"/>
  <c r="E24"/>
  <c r="D24"/>
  <c r="F23"/>
  <c r="E23"/>
  <c r="D23"/>
  <c r="A23"/>
  <c r="A24" s="1"/>
  <c r="A25" s="1"/>
  <c r="A26" s="1"/>
  <c r="A27" s="1"/>
  <c r="A28" s="1"/>
  <c r="A29" s="1"/>
  <c r="A30" s="1"/>
  <c r="N22"/>
  <c r="F22"/>
  <c r="E22"/>
  <c r="D22"/>
  <c r="F21"/>
  <c r="N21" s="1"/>
  <c r="E21"/>
  <c r="D21"/>
  <c r="F20"/>
  <c r="E20"/>
  <c r="D20"/>
  <c r="F19"/>
  <c r="N19" s="1"/>
  <c r="D19"/>
  <c r="E19" s="1"/>
  <c r="N18"/>
  <c r="F18"/>
  <c r="E18"/>
  <c r="D18"/>
  <c r="F17"/>
  <c r="N17" s="1"/>
  <c r="E17"/>
  <c r="D17"/>
  <c r="F16"/>
  <c r="E16"/>
  <c r="D16"/>
  <c r="F15"/>
  <c r="N15" s="1"/>
  <c r="D15"/>
  <c r="E15" s="1"/>
  <c r="F14"/>
  <c r="N14" s="1"/>
  <c r="E14"/>
  <c r="D14"/>
  <c r="F13"/>
  <c r="N13" s="1"/>
  <c r="D13"/>
  <c r="E13" s="1"/>
  <c r="F12"/>
  <c r="N12" s="1"/>
  <c r="E12"/>
  <c r="D12"/>
  <c r="F11"/>
  <c r="N11" s="1"/>
  <c r="D11"/>
  <c r="E11" s="1"/>
  <c r="A11"/>
  <c r="A12" s="1"/>
  <c r="A13" s="1"/>
  <c r="A14" s="1"/>
  <c r="A15" s="1"/>
  <c r="F10"/>
  <c r="N10" s="1"/>
  <c r="E10"/>
  <c r="D10"/>
  <c r="F9"/>
  <c r="E9"/>
  <c r="D9"/>
  <c r="A9"/>
  <c r="N8"/>
  <c r="F8"/>
  <c r="E8"/>
  <c r="D8"/>
  <c r="A8"/>
  <c r="F7"/>
  <c r="E7"/>
  <c r="E31" s="1"/>
  <c r="D7"/>
  <c r="D31" s="1"/>
  <c r="R4"/>
  <c r="R30" s="1"/>
  <c r="M4"/>
  <c r="M30" s="1"/>
  <c r="L4"/>
  <c r="L19" s="1"/>
  <c r="K4"/>
  <c r="J4"/>
  <c r="J30" s="1"/>
  <c r="H4"/>
  <c r="H19" s="1"/>
  <c r="E23" i="3"/>
  <c r="E21"/>
  <c r="I19"/>
  <c r="E19"/>
  <c r="I18"/>
  <c r="E18"/>
  <c r="E16"/>
  <c r="I13"/>
  <c r="E13"/>
  <c r="I12"/>
  <c r="E12"/>
  <c r="I11"/>
  <c r="E11"/>
  <c r="E10"/>
  <c r="E9"/>
  <c r="I8"/>
  <c r="E8"/>
  <c r="E7"/>
  <c r="E6"/>
  <c r="I5"/>
  <c r="E5"/>
  <c r="I4"/>
  <c r="E4"/>
  <c r="I28" l="1"/>
  <c r="K23" i="4"/>
  <c r="K30"/>
  <c r="K18"/>
  <c r="K22"/>
  <c r="K24"/>
  <c r="K25"/>
  <c r="K7"/>
  <c r="K8"/>
  <c r="K16"/>
  <c r="K20"/>
  <c r="K28"/>
  <c r="K29"/>
  <c r="K9"/>
  <c r="K26"/>
  <c r="K27"/>
  <c r="I29" i="3"/>
  <c r="I30" s="1"/>
  <c r="M69" i="4" s="1"/>
  <c r="I4" s="1"/>
  <c r="J7"/>
  <c r="H8"/>
  <c r="L8"/>
  <c r="J9"/>
  <c r="N9"/>
  <c r="M10"/>
  <c r="R10"/>
  <c r="K11"/>
  <c r="M12"/>
  <c r="R12"/>
  <c r="K13"/>
  <c r="M14"/>
  <c r="R14"/>
  <c r="K15"/>
  <c r="J16"/>
  <c r="N16"/>
  <c r="M17"/>
  <c r="R17"/>
  <c r="H18"/>
  <c r="L18"/>
  <c r="K19"/>
  <c r="J20"/>
  <c r="N20"/>
  <c r="M21"/>
  <c r="R21"/>
  <c r="H22"/>
  <c r="L22"/>
  <c r="J23"/>
  <c r="N23"/>
  <c r="H24"/>
  <c r="L24"/>
  <c r="J25"/>
  <c r="N25"/>
  <c r="H26"/>
  <c r="L26"/>
  <c r="J27"/>
  <c r="N27"/>
  <c r="H28"/>
  <c r="L28"/>
  <c r="J29"/>
  <c r="N29"/>
  <c r="H30"/>
  <c r="L30"/>
  <c r="M7"/>
  <c r="R7"/>
  <c r="M9"/>
  <c r="R9"/>
  <c r="H10"/>
  <c r="L10"/>
  <c r="J11"/>
  <c r="H12"/>
  <c r="L12"/>
  <c r="J13"/>
  <c r="H14"/>
  <c r="L14"/>
  <c r="J15"/>
  <c r="M16"/>
  <c r="R16"/>
  <c r="H17"/>
  <c r="L17"/>
  <c r="J19"/>
  <c r="M20"/>
  <c r="R20"/>
  <c r="H21"/>
  <c r="L21"/>
  <c r="M23"/>
  <c r="R23"/>
  <c r="M25"/>
  <c r="R25"/>
  <c r="M27"/>
  <c r="R27"/>
  <c r="M29"/>
  <c r="R29"/>
  <c r="H7"/>
  <c r="L7"/>
  <c r="J8"/>
  <c r="H9"/>
  <c r="L9"/>
  <c r="K10"/>
  <c r="M11"/>
  <c r="R11"/>
  <c r="K12"/>
  <c r="M13"/>
  <c r="R13"/>
  <c r="K14"/>
  <c r="M15"/>
  <c r="R15"/>
  <c r="H16"/>
  <c r="L16"/>
  <c r="K17"/>
  <c r="J18"/>
  <c r="M19"/>
  <c r="R19"/>
  <c r="H20"/>
  <c r="L20"/>
  <c r="K21"/>
  <c r="J22"/>
  <c r="H23"/>
  <c r="L23"/>
  <c r="J24"/>
  <c r="H25"/>
  <c r="L25"/>
  <c r="J26"/>
  <c r="H27"/>
  <c r="L27"/>
  <c r="J28"/>
  <c r="H29"/>
  <c r="L29"/>
  <c r="M8"/>
  <c r="R8"/>
  <c r="J10"/>
  <c r="H11"/>
  <c r="L11"/>
  <c r="J12"/>
  <c r="H13"/>
  <c r="L13"/>
  <c r="J14"/>
  <c r="H15"/>
  <c r="L15"/>
  <c r="J17"/>
  <c r="M18"/>
  <c r="R18"/>
  <c r="J21"/>
  <c r="M22"/>
  <c r="R22"/>
  <c r="M24"/>
  <c r="R24"/>
  <c r="M26"/>
  <c r="R26"/>
  <c r="M28"/>
  <c r="R28"/>
  <c r="I7" l="1"/>
  <c r="O7" s="1"/>
  <c r="I9"/>
  <c r="O9" s="1"/>
  <c r="P9" s="1"/>
  <c r="I16"/>
  <c r="O16" s="1"/>
  <c r="P16" s="1"/>
  <c r="I10"/>
  <c r="O10" s="1"/>
  <c r="P10" s="1"/>
  <c r="I20"/>
  <c r="O20" s="1"/>
  <c r="P20" s="1"/>
  <c r="I29"/>
  <c r="O29" s="1"/>
  <c r="P29" s="1"/>
  <c r="I17"/>
  <c r="O17" s="1"/>
  <c r="P17" s="1"/>
  <c r="I21"/>
  <c r="O21" s="1"/>
  <c r="P21" s="1"/>
  <c r="I25"/>
  <c r="O25" s="1"/>
  <c r="P25" s="1"/>
  <c r="I12"/>
  <c r="O12" s="1"/>
  <c r="P12" s="1"/>
  <c r="I14"/>
  <c r="K31"/>
  <c r="H31"/>
  <c r="I23"/>
  <c r="O23" s="1"/>
  <c r="P23" s="1"/>
  <c r="M70"/>
  <c r="M72" s="1"/>
  <c r="L31"/>
  <c r="J31"/>
  <c r="I27"/>
  <c r="O27" s="1"/>
  <c r="P27" s="1"/>
  <c r="O14"/>
  <c r="P14" s="1"/>
  <c r="N31"/>
  <c r="I30"/>
  <c r="O30" s="1"/>
  <c r="P30" s="1"/>
  <c r="I28"/>
  <c r="O28" s="1"/>
  <c r="P28" s="1"/>
  <c r="I26"/>
  <c r="O26" s="1"/>
  <c r="P26" s="1"/>
  <c r="I24"/>
  <c r="O24" s="1"/>
  <c r="P24" s="1"/>
  <c r="I22"/>
  <c r="O22" s="1"/>
  <c r="P22" s="1"/>
  <c r="I18"/>
  <c r="O18" s="1"/>
  <c r="P18" s="1"/>
  <c r="I8"/>
  <c r="O8" s="1"/>
  <c r="P8" s="1"/>
  <c r="I19"/>
  <c r="O19" s="1"/>
  <c r="P19" s="1"/>
  <c r="I15"/>
  <c r="O15" s="1"/>
  <c r="P15" s="1"/>
  <c r="I13"/>
  <c r="O13" s="1"/>
  <c r="P13" s="1"/>
  <c r="I11"/>
  <c r="O11" s="1"/>
  <c r="P11" s="1"/>
  <c r="M31"/>
  <c r="I31" l="1"/>
  <c r="O31"/>
  <c r="O34" s="1"/>
  <c r="P7"/>
</calcChain>
</file>

<file path=xl/sharedStrings.xml><?xml version="1.0" encoding="utf-8"?>
<sst xmlns="http://schemas.openxmlformats.org/spreadsheetml/2006/main" count="165" uniqueCount="146">
  <si>
    <t>Building Area / Work</t>
  </si>
  <si>
    <t xml:space="preserve">Task/ project </t>
  </si>
  <si>
    <t xml:space="preserve">comments </t>
  </si>
  <si>
    <t>Expected maintenance (Yrs)</t>
  </si>
  <si>
    <t>Year next expected</t>
  </si>
  <si>
    <t>Cycle (years)</t>
  </si>
  <si>
    <t>Estimated cost $</t>
  </si>
  <si>
    <t>Annual Cost $</t>
  </si>
  <si>
    <t>High St / Alva St</t>
  </si>
  <si>
    <t>Axon / Facade &amp; Hardies</t>
  </si>
  <si>
    <t xml:space="preserve">Re-Paint Exterior </t>
  </si>
  <si>
    <t xml:space="preserve">Scaffold </t>
  </si>
  <si>
    <t xml:space="preserve">Exterior timber &amp; other structures railings etc </t>
  </si>
  <si>
    <t>shutters &amp; metal frame</t>
  </si>
  <si>
    <t xml:space="preserve">stain / sand </t>
  </si>
  <si>
    <t>40 (m2)</t>
  </si>
  <si>
    <t>Timber Pergolas</t>
  </si>
  <si>
    <t xml:space="preserve">alva St- lower ground 72(m2)+ High St. 36(m2)&amp; 72(m2)  </t>
  </si>
  <si>
    <t>Conc. Stairs &amp; Steel Handrails</t>
  </si>
  <si>
    <t>Use Scaffold w/ overall painting</t>
  </si>
  <si>
    <t>Common House exterior</t>
  </si>
  <si>
    <t>Stucco 50m2</t>
  </si>
  <si>
    <t>Common House interior</t>
  </si>
  <si>
    <t xml:space="preserve">painting &amp; repairs </t>
  </si>
  <si>
    <t>Common areas - paving</t>
  </si>
  <si>
    <t>concrete paths, pavings, hogging</t>
  </si>
  <si>
    <t>repairs &amp; materials for maintenance.</t>
  </si>
  <si>
    <t xml:space="preserve">Common areas - exterior timber </t>
  </si>
  <si>
    <t>All buidings</t>
  </si>
  <si>
    <t xml:space="preserve">Roofing Spouting, Exterior walls </t>
  </si>
  <si>
    <t>Washing Down Exterior</t>
  </si>
  <si>
    <t xml:space="preserve">Part scaffold - harnessing - platform </t>
  </si>
  <si>
    <t>Roofing / High areas cleaning</t>
  </si>
  <si>
    <t>Scaffolding - High St</t>
  </si>
  <si>
    <t>High Street - Scaffolding required</t>
  </si>
  <si>
    <t>Scaffolding - Alva</t>
  </si>
  <si>
    <t>Alva - Scaffolding Required</t>
  </si>
  <si>
    <t>Scaffolding - Montpelier</t>
  </si>
  <si>
    <t>Scaffolding not required</t>
  </si>
  <si>
    <t xml:space="preserve">washing areas not done by rainfall - around soffit areas </t>
  </si>
  <si>
    <t xml:space="preserve">washing by Stiff Soft Bristled Brush or Water blasting (1500-2000psi)  </t>
  </si>
  <si>
    <t>Gutters</t>
  </si>
  <si>
    <t>Cleaning / Maintain</t>
  </si>
  <si>
    <t>Remove debris</t>
  </si>
  <si>
    <t>Soffits</t>
  </si>
  <si>
    <t>washing area &amp; protect flashings, joints , etc</t>
  </si>
  <si>
    <t>do not use water blasting</t>
  </si>
  <si>
    <t>PVC-U windows</t>
  </si>
  <si>
    <t xml:space="preserve">washing </t>
  </si>
  <si>
    <t>Long brush.  Windows open inwards</t>
  </si>
  <si>
    <t>Annual Cost</t>
  </si>
  <si>
    <t>Total incl contingency</t>
  </si>
  <si>
    <t>Ownership</t>
  </si>
  <si>
    <t>Utility</t>
  </si>
  <si>
    <t>UCOL PROVISIONAL BODY CORPORATE FEES INCLUDING LONG TERM MAINTENENCE CONTRIBUTION - Nov 2020</t>
  </si>
  <si>
    <t>Unit count</t>
  </si>
  <si>
    <t>Unit #</t>
  </si>
  <si>
    <t>Unit Value (GST incl)</t>
  </si>
  <si>
    <t>Individual prop value (Ex GST)</t>
  </si>
  <si>
    <t>Shared/Common allocation</t>
  </si>
  <si>
    <t>% ownership</t>
  </si>
  <si>
    <t>Insurance (plus 20%)</t>
  </si>
  <si>
    <t>LT Maint  incl 10% Contingency</t>
  </si>
  <si>
    <t>Maintenance - commons</t>
  </si>
  <si>
    <t>Power - commons</t>
  </si>
  <si>
    <t>Sundries - commons</t>
  </si>
  <si>
    <t>Admin</t>
  </si>
  <si>
    <t>Body Corp Fees</t>
  </si>
  <si>
    <t>Weekly charge</t>
  </si>
  <si>
    <t>Rates per unit est 2018 (private)</t>
  </si>
  <si>
    <t>H1</t>
  </si>
  <si>
    <t>H2</t>
  </si>
  <si>
    <t>H3</t>
  </si>
  <si>
    <t>C1</t>
  </si>
  <si>
    <t>C2</t>
  </si>
  <si>
    <t>C3</t>
  </si>
  <si>
    <t>C4</t>
  </si>
  <si>
    <t>C5</t>
  </si>
  <si>
    <t>C6</t>
  </si>
  <si>
    <t>D1</t>
  </si>
  <si>
    <t>D2</t>
  </si>
  <si>
    <t>D3</t>
  </si>
  <si>
    <t>D4</t>
  </si>
  <si>
    <t>D5</t>
  </si>
  <si>
    <t>D6</t>
  </si>
  <si>
    <t>A1</t>
  </si>
  <si>
    <t>A2</t>
  </si>
  <si>
    <t>A3</t>
  </si>
  <si>
    <t>A4</t>
  </si>
  <si>
    <t>A5</t>
  </si>
  <si>
    <t>A6</t>
  </si>
  <si>
    <t>M1</t>
  </si>
  <si>
    <t>M2</t>
  </si>
  <si>
    <t>M3</t>
  </si>
  <si>
    <t>Incl $5k scaffolding for gutter cleaning</t>
  </si>
  <si>
    <t>Approx 10% of Op costs, excl LT Maint</t>
  </si>
  <si>
    <t>Increase  from original $50k</t>
  </si>
  <si>
    <t>Draft Body Corp Budget</t>
  </si>
  <si>
    <t>2020 Add 5% to all figures from 2018</t>
  </si>
  <si>
    <t>A</t>
  </si>
  <si>
    <t>S</t>
  </si>
  <si>
    <t>E</t>
  </si>
  <si>
    <t>M</t>
  </si>
  <si>
    <t>I</t>
  </si>
  <si>
    <t>(2018 est x 20%)</t>
  </si>
  <si>
    <t>(sundries-comm area)</t>
  </si>
  <si>
    <t>Incl cleaning products, lightbulbs...)</t>
  </si>
  <si>
    <t>incl scaffolding every 2 years to clean gutters</t>
  </si>
  <si>
    <t>LT</t>
  </si>
  <si>
    <t>pa incl Long Term Maint Contribution</t>
  </si>
  <si>
    <t>pa excluding LT Maint</t>
  </si>
  <si>
    <t>Long Term Maint Plan - Levy PA</t>
  </si>
  <si>
    <t>Includes from previous schedule</t>
  </si>
  <si>
    <t>Ground Maint</t>
  </si>
  <si>
    <t>Common Area Maint</t>
  </si>
  <si>
    <t>Cleaning Common areas</t>
  </si>
  <si>
    <t>Window Cleaning incl scaff</t>
  </si>
  <si>
    <t>Start Yr</t>
  </si>
  <si>
    <t>Painting (labour &amp; materials)</t>
  </si>
  <si>
    <t>painting (materials only), scaffolding not needed</t>
  </si>
  <si>
    <t>Comments</t>
  </si>
  <si>
    <t>Qty</t>
  </si>
  <si>
    <t>$70k per block, engage contractor to paint.</t>
  </si>
  <si>
    <t>Do this during annual cleaning when scaffolding is up</t>
  </si>
  <si>
    <t>Scaffolding probably not needed. Materials only &amp; labour from working bee</t>
  </si>
  <si>
    <r>
      <t>kitchen. guestrooms, toilets, etc Incl</t>
    </r>
    <r>
      <rPr>
        <sz val="10"/>
        <color indexed="15"/>
        <rFont val="Arial"/>
      </rPr>
      <t xml:space="preserve"> </t>
    </r>
    <r>
      <rPr>
        <sz val="10"/>
        <rFont val="Arial"/>
        <family val="2"/>
      </rPr>
      <t>Equipment/Fittings</t>
    </r>
  </si>
  <si>
    <t>Materials only, labour from working bees</t>
  </si>
  <si>
    <t>stain / sand (waterblast)</t>
  </si>
  <si>
    <t>Every year. Big clean &amp; check for damange.  Clean out gutters.</t>
  </si>
  <si>
    <t>Replacing Roof</t>
  </si>
  <si>
    <t>Replacing roofing sheets</t>
  </si>
  <si>
    <t>This plan is for 30 years, so leaving this cost out for now, but will be reviewed.</t>
  </si>
  <si>
    <t>Additional Comments from Juan</t>
  </si>
  <si>
    <t>There are companies that will review the LTMP for apartment blocks, and we should consider engaging them to review this in 3-5 years time</t>
  </si>
  <si>
    <t>Additional Comments from Min</t>
  </si>
  <si>
    <t>See the next tab for updated BC Fees.  Insurance has been increased 20% from the 2018 figure for now, and the actual figure will be used when we get it.</t>
  </si>
  <si>
    <t>Contingency 10%</t>
  </si>
  <si>
    <t>Rubbish removal, Cleaning products &amp; Pest Control</t>
  </si>
  <si>
    <t>Contingency non-LTM, 10%</t>
  </si>
  <si>
    <t>Remember that each unit will pay their own rates and contents insurance separately, but building insurance comes under the Body Corp.</t>
  </si>
  <si>
    <t>For my 3 bedroom unit, D2, Body corp fees of $2800 per year seems very reasonable, especially as it also includes building insurance.</t>
  </si>
  <si>
    <t>Include with Exterior painting</t>
  </si>
  <si>
    <t>Cost includes repairing/replacing common equipment like washing machines, kitchen equipment, etc.</t>
  </si>
  <si>
    <t>Materials only, labour from working bee.  Does not include initial cost of building the fence.</t>
  </si>
  <si>
    <t>retaining walls , perimeter fence maintenance</t>
  </si>
  <si>
    <t>I'm happy with this schedule as a starting point &amp; would consider paying more to have some of the working-bee labour done by a paid contractor. Eg. Fence painting.</t>
  </si>
</sst>
</file>

<file path=xl/styles.xml><?xml version="1.0" encoding="utf-8"?>
<styleSheet xmlns="http://schemas.openxmlformats.org/spreadsheetml/2006/main">
  <numFmts count="5">
    <numFmt numFmtId="164" formatCode="&quot; &quot;&quot;$&quot;* #,##0.00&quot; &quot;;&quot;-&quot;&quot;$&quot;* #,##0.00&quot; &quot;;&quot; &quot;&quot;$&quot;* &quot;-&quot;??&quot; &quot;"/>
    <numFmt numFmtId="165" formatCode="&quot; &quot;* #,##0&quot; &quot;;&quot;-&quot;* #,##0&quot; &quot;;&quot; &quot;* &quot;-&quot;??&quot; &quot;"/>
    <numFmt numFmtId="166" formatCode="0.0%"/>
    <numFmt numFmtId="167" formatCode="&quot; &quot;* #,##0.00&quot; &quot;;&quot; &quot;* \(#,##0.00\);&quot; &quot;* &quot;-&quot;??&quot; &quot;"/>
    <numFmt numFmtId="168" formatCode="&quot; &quot;&quot;$&quot;* #,##0&quot; &quot;;&quot;-&quot;&quot;$&quot;* #,##0&quot; &quot;;&quot; &quot;&quot;$&quot;* &quot;-&quot;??&quot; &quot;"/>
  </numFmts>
  <fonts count="21">
    <font>
      <sz val="11"/>
      <color indexed="8"/>
      <name val="Calibri"/>
    </font>
    <font>
      <b/>
      <sz val="11"/>
      <color indexed="8"/>
      <name val="Calibri"/>
    </font>
    <font>
      <b/>
      <sz val="10"/>
      <color indexed="8"/>
      <name val="Arial"/>
    </font>
    <font>
      <sz val="12"/>
      <color indexed="8"/>
      <name val="Times New Roman"/>
    </font>
    <font>
      <b/>
      <sz val="9"/>
      <color indexed="8"/>
      <name val="Arial"/>
    </font>
    <font>
      <b/>
      <sz val="10"/>
      <color indexed="8"/>
      <name val="Times New Roman"/>
    </font>
    <font>
      <sz val="10"/>
      <color indexed="8"/>
      <name val="Arial"/>
    </font>
    <font>
      <sz val="10"/>
      <color indexed="8"/>
      <name val="Times New Roman"/>
    </font>
    <font>
      <sz val="10"/>
      <color indexed="15"/>
      <name val="Arial"/>
    </font>
    <font>
      <sz val="12"/>
      <color indexed="15"/>
      <name val="Times New Roman"/>
    </font>
    <font>
      <sz val="11"/>
      <color indexed="15"/>
      <name val="Calibri"/>
    </font>
    <font>
      <sz val="12"/>
      <color indexed="15"/>
      <name val="Calibri"/>
    </font>
    <font>
      <b/>
      <sz val="11"/>
      <color indexed="15"/>
      <name val="Calibri"/>
    </font>
    <font>
      <sz val="10"/>
      <color indexed="15"/>
      <name val="Calibri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</fills>
  <borders count="23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13"/>
      </top>
      <bottom style="medium">
        <color indexed="13"/>
      </bottom>
      <diagonal/>
    </border>
    <border>
      <left style="medium">
        <color indexed="8"/>
      </left>
      <right style="medium">
        <color indexed="8"/>
      </right>
      <top/>
      <bottom style="medium">
        <color indexed="13"/>
      </bottom>
      <diagonal/>
    </border>
    <border>
      <left style="thin">
        <color indexed="13"/>
      </left>
      <right style="thin">
        <color indexed="13"/>
      </right>
      <top style="medium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7"/>
      </bottom>
      <diagonal/>
    </border>
    <border>
      <left style="thin">
        <color indexed="13"/>
      </left>
      <right style="thin">
        <color indexed="13"/>
      </right>
      <top/>
      <bottom style="thin">
        <color indexed="17"/>
      </bottom>
      <diagonal/>
    </border>
    <border>
      <left style="thin">
        <color indexed="13"/>
      </left>
      <right/>
      <top style="thin">
        <color indexed="13"/>
      </top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3"/>
      </right>
      <top style="thin">
        <color indexed="13"/>
      </top>
      <bottom style="thin">
        <color indexed="17"/>
      </bottom>
      <diagonal/>
    </border>
    <border>
      <left style="thin">
        <color indexed="13"/>
      </left>
      <right style="thin">
        <color indexed="17"/>
      </right>
      <top style="thin">
        <color indexed="13"/>
      </top>
      <bottom style="thin">
        <color indexed="13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7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</borders>
  <cellStyleXfs count="1">
    <xf numFmtId="0" fontId="0" fillId="0" borderId="0" applyNumberFormat="0" applyFill="0" applyBorder="0" applyProtection="0"/>
  </cellStyleXfs>
  <cellXfs count="122">
    <xf numFmtId="0" fontId="0" fillId="0" borderId="0" xfId="0" applyFont="1" applyAlignment="1"/>
    <xf numFmtId="0" fontId="0" fillId="0" borderId="1" xfId="0" applyFont="1" applyBorder="1" applyAlignment="1"/>
    <xf numFmtId="0" fontId="0" fillId="2" borderId="1" xfId="0" applyNumberFormat="1" applyFont="1" applyFill="1" applyBorder="1" applyAlignment="1"/>
    <xf numFmtId="49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/>
    <xf numFmtId="49" fontId="4" fillId="2" borderId="5" xfId="0" applyNumberFormat="1" applyFont="1" applyFill="1" applyBorder="1" applyAlignment="1">
      <alignment horizontal="center" wrapText="1"/>
    </xf>
    <xf numFmtId="0" fontId="3" fillId="2" borderId="6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wrapText="1"/>
    </xf>
    <xf numFmtId="3" fontId="0" fillId="0" borderId="1" xfId="0" applyNumberFormat="1" applyFont="1" applyBorder="1" applyAlignment="1"/>
    <xf numFmtId="164" fontId="1" fillId="0" borderId="7" xfId="0" applyNumberFormat="1" applyFont="1" applyBorder="1" applyAlignment="1"/>
    <xf numFmtId="0" fontId="0" fillId="0" borderId="0" xfId="0" applyNumberFormat="1" applyFont="1" applyAlignment="1"/>
    <xf numFmtId="0" fontId="0" fillId="0" borderId="8" xfId="0" applyFont="1" applyBorder="1" applyAlignment="1"/>
    <xf numFmtId="49" fontId="0" fillId="4" borderId="9" xfId="0" applyNumberFormat="1" applyFont="1" applyFill="1" applyBorder="1" applyAlignment="1">
      <alignment horizontal="center"/>
    </xf>
    <xf numFmtId="0" fontId="0" fillId="0" borderId="10" xfId="0" applyFont="1" applyBorder="1" applyAlignment="1"/>
    <xf numFmtId="0" fontId="0" fillId="0" borderId="1" xfId="0" applyFont="1" applyBorder="1" applyAlignment="1">
      <alignment horizontal="center"/>
    </xf>
    <xf numFmtId="49" fontId="0" fillId="4" borderId="11" xfId="0" applyNumberFormat="1" applyFont="1" applyFill="1" applyBorder="1" applyAlignment="1">
      <alignment horizontal="center"/>
    </xf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0" fillId="0" borderId="15" xfId="0" applyFont="1" applyBorder="1" applyAlignment="1"/>
    <xf numFmtId="0" fontId="0" fillId="3" borderId="16" xfId="0" applyFont="1" applyFill="1" applyBorder="1" applyAlignment="1">
      <alignment horizontal="center"/>
    </xf>
    <xf numFmtId="49" fontId="0" fillId="3" borderId="16" xfId="0" applyNumberFormat="1" applyFont="1" applyFill="1" applyBorder="1" applyAlignment="1">
      <alignment horizontal="center"/>
    </xf>
    <xf numFmtId="0" fontId="0" fillId="0" borderId="17" xfId="0" applyFont="1" applyBorder="1" applyAlignment="1"/>
    <xf numFmtId="0" fontId="0" fillId="2" borderId="13" xfId="0" applyFont="1" applyFill="1" applyBorder="1" applyAlignment="1"/>
    <xf numFmtId="0" fontId="0" fillId="0" borderId="18" xfId="0" applyFont="1" applyBorder="1" applyAlignment="1"/>
    <xf numFmtId="0" fontId="0" fillId="0" borderId="19" xfId="0" applyFont="1" applyBorder="1" applyAlignment="1"/>
    <xf numFmtId="165" fontId="10" fillId="3" borderId="19" xfId="0" applyNumberFormat="1" applyFont="1" applyFill="1" applyBorder="1" applyAlignment="1"/>
    <xf numFmtId="165" fontId="0" fillId="3" borderId="19" xfId="0" applyNumberFormat="1" applyFont="1" applyFill="1" applyBorder="1" applyAlignment="1"/>
    <xf numFmtId="0" fontId="0" fillId="2" borderId="19" xfId="0" applyFont="1" applyFill="1" applyBorder="1" applyAlignment="1"/>
    <xf numFmtId="0" fontId="0" fillId="0" borderId="20" xfId="0" applyFont="1" applyBorder="1" applyAlignment="1"/>
    <xf numFmtId="49" fontId="0" fillId="0" borderId="19" xfId="0" applyNumberFormat="1" applyFont="1" applyBorder="1" applyAlignment="1"/>
    <xf numFmtId="165" fontId="11" fillId="0" borderId="19" xfId="0" applyNumberFormat="1" applyFont="1" applyBorder="1" applyAlignment="1"/>
    <xf numFmtId="165" fontId="0" fillId="0" borderId="19" xfId="0" applyNumberFormat="1" applyFont="1" applyBorder="1" applyAlignment="1"/>
    <xf numFmtId="49" fontId="1" fillId="2" borderId="18" xfId="0" applyNumberFormat="1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49" fontId="12" fillId="5" borderId="19" xfId="0" applyNumberFormat="1" applyFont="1" applyFill="1" applyBorder="1" applyAlignment="1">
      <alignment horizontal="center" vertical="center" wrapText="1"/>
    </xf>
    <xf numFmtId="49" fontId="1" fillId="5" borderId="19" xfId="0" applyNumberFormat="1" applyFont="1" applyFill="1" applyBorder="1" applyAlignment="1">
      <alignment horizontal="center" vertical="center" wrapText="1"/>
    </xf>
    <xf numFmtId="49" fontId="1" fillId="6" borderId="19" xfId="0" applyNumberFormat="1" applyFont="1" applyFill="1" applyBorder="1" applyAlignment="1">
      <alignment horizontal="center" vertical="center" wrapText="1"/>
    </xf>
    <xf numFmtId="0" fontId="0" fillId="0" borderId="18" xfId="0" applyNumberFormat="1" applyFont="1" applyBorder="1" applyAlignment="1"/>
    <xf numFmtId="49" fontId="0" fillId="0" borderId="19" xfId="0" applyNumberFormat="1" applyFont="1" applyBorder="1" applyAlignment="1">
      <alignment horizontal="center"/>
    </xf>
    <xf numFmtId="166" fontId="0" fillId="0" borderId="19" xfId="0" applyNumberFormat="1" applyFont="1" applyBorder="1" applyAlignment="1"/>
    <xf numFmtId="165" fontId="10" fillId="5" borderId="19" xfId="0" applyNumberFormat="1" applyFont="1" applyFill="1" applyBorder="1" applyAlignment="1"/>
    <xf numFmtId="165" fontId="0" fillId="5" borderId="19" xfId="0" applyNumberFormat="1" applyFont="1" applyFill="1" applyBorder="1" applyAlignment="1"/>
    <xf numFmtId="165" fontId="1" fillId="6" borderId="19" xfId="0" applyNumberFormat="1" applyFont="1" applyFill="1" applyBorder="1" applyAlignment="1"/>
    <xf numFmtId="167" fontId="0" fillId="2" borderId="19" xfId="0" applyNumberFormat="1" applyFont="1" applyFill="1" applyBorder="1" applyAlignment="1"/>
    <xf numFmtId="165" fontId="1" fillId="0" borderId="19" xfId="0" applyNumberFormat="1" applyFont="1" applyBorder="1" applyAlignment="1"/>
    <xf numFmtId="165" fontId="1" fillId="3" borderId="19" xfId="0" applyNumberFormat="1" applyFont="1" applyFill="1" applyBorder="1" applyAlignment="1"/>
    <xf numFmtId="166" fontId="1" fillId="0" borderId="19" xfId="0" applyNumberFormat="1" applyFont="1" applyBorder="1" applyAlignment="1"/>
    <xf numFmtId="165" fontId="12" fillId="5" borderId="19" xfId="0" applyNumberFormat="1" applyFont="1" applyFill="1" applyBorder="1" applyAlignment="1"/>
    <xf numFmtId="165" fontId="1" fillId="5" borderId="19" xfId="0" applyNumberFormat="1" applyFont="1" applyFill="1" applyBorder="1" applyAlignment="1"/>
    <xf numFmtId="165" fontId="1" fillId="2" borderId="19" xfId="0" applyNumberFormat="1" applyFont="1" applyFill="1" applyBorder="1" applyAlignment="1"/>
    <xf numFmtId="0" fontId="0" fillId="0" borderId="21" xfId="0" applyFont="1" applyBorder="1" applyAlignment="1"/>
    <xf numFmtId="165" fontId="0" fillId="0" borderId="21" xfId="0" applyNumberFormat="1" applyFont="1" applyBorder="1" applyAlignment="1"/>
    <xf numFmtId="165" fontId="0" fillId="2" borderId="21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49" fontId="10" fillId="0" borderId="1" xfId="0" applyNumberFormat="1" applyFont="1" applyBorder="1" applyAlignment="1"/>
    <xf numFmtId="165" fontId="0" fillId="2" borderId="1" xfId="0" applyNumberFormat="1" applyFont="1" applyFill="1" applyBorder="1" applyAlignment="1"/>
    <xf numFmtId="168" fontId="13" fillId="0" borderId="1" xfId="0" applyNumberFormat="1" applyFont="1" applyBorder="1" applyAlignment="1"/>
    <xf numFmtId="0" fontId="0" fillId="0" borderId="1" xfId="0" applyNumberFormat="1" applyFont="1" applyBorder="1" applyAlignment="1"/>
    <xf numFmtId="165" fontId="0" fillId="0" borderId="1" xfId="0" applyNumberFormat="1" applyFont="1" applyBorder="1" applyAlignment="1"/>
    <xf numFmtId="164" fontId="10" fillId="0" borderId="1" xfId="0" applyNumberFormat="1" applyFont="1" applyBorder="1" applyAlignment="1"/>
    <xf numFmtId="0" fontId="0" fillId="2" borderId="7" xfId="0" applyNumberFormat="1" applyFont="1" applyFill="1" applyBorder="1" applyAlignment="1"/>
    <xf numFmtId="168" fontId="1" fillId="0" borderId="1" xfId="0" applyNumberFormat="1" applyFont="1" applyBorder="1" applyAlignment="1"/>
    <xf numFmtId="168" fontId="1" fillId="2" borderId="22" xfId="0" applyNumberFormat="1" applyFont="1" applyFill="1" applyBorder="1" applyAlignment="1"/>
    <xf numFmtId="168" fontId="0" fillId="0" borderId="1" xfId="0" applyNumberFormat="1" applyFont="1" applyBorder="1" applyAlignment="1"/>
    <xf numFmtId="168" fontId="0" fillId="2" borderId="1" xfId="0" applyNumberFormat="1" applyFont="1" applyFill="1" applyBorder="1" applyAlignment="1"/>
    <xf numFmtId="49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49" fontId="4" fillId="2" borderId="3" xfId="0" applyNumberFormat="1" applyFont="1" applyFill="1" applyBorder="1" applyAlignment="1">
      <alignment horizont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Alignment="1"/>
    <xf numFmtId="0" fontId="18" fillId="0" borderId="0" xfId="0" applyNumberFormat="1" applyFont="1" applyAlignment="1"/>
    <xf numFmtId="0" fontId="18" fillId="0" borderId="0" xfId="0" applyNumberFormat="1" applyFont="1" applyAlignment="1">
      <alignment wrapText="1"/>
    </xf>
    <xf numFmtId="0" fontId="0" fillId="0" borderId="0" xfId="0" applyNumberFormat="1" applyFont="1" applyAlignment="1">
      <alignment wrapText="1"/>
    </xf>
    <xf numFmtId="0" fontId="0" fillId="0" borderId="1" xfId="0" applyFont="1" applyBorder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right"/>
    </xf>
    <xf numFmtId="49" fontId="0" fillId="0" borderId="1" xfId="0" applyNumberFormat="1" applyFont="1" applyBorder="1" applyAlignment="1">
      <alignment wrapText="1"/>
    </xf>
    <xf numFmtId="49" fontId="19" fillId="0" borderId="1" xfId="0" applyNumberFormat="1" applyFont="1" applyBorder="1" applyAlignment="1">
      <alignment wrapText="1"/>
    </xf>
    <xf numFmtId="49" fontId="18" fillId="5" borderId="19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wrapText="1"/>
    </xf>
    <xf numFmtId="49" fontId="2" fillId="2" borderId="3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9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2" borderId="6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49" fontId="5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vertical="center" wrapText="1"/>
    </xf>
    <xf numFmtId="0" fontId="15" fillId="2" borderId="1" xfId="0" applyNumberFormat="1" applyFont="1" applyFill="1" applyBorder="1" applyAlignment="1">
      <alignment vertical="center" wrapText="1"/>
    </xf>
    <xf numFmtId="49" fontId="15" fillId="2" borderId="1" xfId="0" applyNumberFormat="1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vertical="center" wrapText="1"/>
    </xf>
    <xf numFmtId="49" fontId="20" fillId="2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FFFF00"/>
      <rgbColor rgb="FFFF0000"/>
      <rgbColor rgb="FF4F81BD"/>
      <rgbColor rgb="FFEEECE1"/>
      <rgbColor rgb="FFF2F2F2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182878</xdr:rowOff>
    </xdr:from>
    <xdr:to>
      <xdr:col>12</xdr:col>
      <xdr:colOff>95037</xdr:colOff>
      <xdr:row>80</xdr:row>
      <xdr:rowOff>12</xdr:rowOff>
    </xdr:to>
    <xdr:pic>
      <xdr:nvPicPr>
        <xdr:cNvPr id="2" name="Picture 1" descr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0" y="7696198"/>
          <a:ext cx="7334038" cy="822961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showGridLines="0" tabSelected="1" topLeftCell="A26" workbookViewId="0">
      <selection activeCell="K40" sqref="K40"/>
    </sheetView>
  </sheetViews>
  <sheetFormatPr defaultColWidth="8.88671875" defaultRowHeight="14.4" customHeight="1"/>
  <cols>
    <col min="1" max="1" width="21.88671875" style="5" customWidth="1"/>
    <col min="2" max="2" width="24.44140625" style="5" customWidth="1"/>
    <col min="3" max="3" width="25.88671875" style="5" customWidth="1"/>
    <col min="4" max="8" width="8.88671875" style="5" customWidth="1"/>
    <col min="9" max="9" width="11.33203125" style="5" customWidth="1"/>
    <col min="10" max="10" width="8.88671875" style="5" customWidth="1"/>
    <col min="11" max="11" width="38.77734375" style="87" customWidth="1"/>
    <col min="12" max="16384" width="8.88671875" style="5"/>
  </cols>
  <sheetData>
    <row r="1" spans="1:11" ht="28.2" customHeight="1">
      <c r="A1" s="99" t="s">
        <v>0</v>
      </c>
      <c r="B1" s="95" t="s">
        <v>1</v>
      </c>
      <c r="C1" s="95" t="s">
        <v>2</v>
      </c>
      <c r="D1" s="95" t="s">
        <v>3</v>
      </c>
      <c r="E1" s="95" t="s">
        <v>4</v>
      </c>
      <c r="F1" s="95" t="s">
        <v>5</v>
      </c>
      <c r="G1" s="95" t="s">
        <v>121</v>
      </c>
      <c r="H1" s="97" t="s">
        <v>6</v>
      </c>
      <c r="I1" s="95" t="s">
        <v>7</v>
      </c>
      <c r="J1" s="81" t="s">
        <v>117</v>
      </c>
      <c r="K1" s="86" t="s">
        <v>120</v>
      </c>
    </row>
    <row r="2" spans="1:11" ht="15" customHeight="1" thickBot="1">
      <c r="A2" s="100"/>
      <c r="B2" s="96"/>
      <c r="C2" s="96"/>
      <c r="D2" s="96"/>
      <c r="E2" s="96"/>
      <c r="F2" s="96"/>
      <c r="G2" s="96"/>
      <c r="H2" s="98"/>
      <c r="I2" s="96"/>
      <c r="J2" s="6">
        <v>2021</v>
      </c>
    </row>
    <row r="3" spans="1:11" s="106" customFormat="1" ht="15.6" customHeight="1">
      <c r="A3" s="104" t="s">
        <v>8</v>
      </c>
      <c r="B3" s="7"/>
      <c r="C3" s="7"/>
      <c r="D3" s="7"/>
      <c r="E3" s="7"/>
      <c r="F3" s="7"/>
      <c r="G3" s="7"/>
      <c r="H3" s="7"/>
      <c r="I3" s="7"/>
      <c r="J3" s="105"/>
      <c r="K3" s="102"/>
    </row>
    <row r="4" spans="1:11" s="106" customFormat="1" ht="15.6" customHeight="1">
      <c r="A4" s="107" t="s">
        <v>9</v>
      </c>
      <c r="B4" s="8" t="s">
        <v>10</v>
      </c>
      <c r="C4" s="83" t="s">
        <v>118</v>
      </c>
      <c r="D4" s="9">
        <v>25</v>
      </c>
      <c r="E4" s="10">
        <f t="shared" ref="E4:E13" si="0">$J$2+D4</f>
        <v>2046</v>
      </c>
      <c r="F4" s="10">
        <v>25</v>
      </c>
      <c r="G4" s="11"/>
      <c r="H4" s="12">
        <v>150000</v>
      </c>
      <c r="I4" s="12">
        <f>H4/F4</f>
        <v>6000</v>
      </c>
      <c r="J4" s="105"/>
      <c r="K4" s="101" t="s">
        <v>122</v>
      </c>
    </row>
    <row r="5" spans="1:11" s="106" customFormat="1" ht="15.6" customHeight="1">
      <c r="A5" s="11"/>
      <c r="B5" s="8" t="s">
        <v>10</v>
      </c>
      <c r="C5" s="13" t="s">
        <v>11</v>
      </c>
      <c r="D5" s="10">
        <v>25</v>
      </c>
      <c r="E5" s="10">
        <f t="shared" si="0"/>
        <v>2046</v>
      </c>
      <c r="F5" s="10">
        <v>25</v>
      </c>
      <c r="G5" s="11"/>
      <c r="H5" s="12">
        <v>50000</v>
      </c>
      <c r="I5" s="12">
        <f>H5/F5</f>
        <v>2000</v>
      </c>
      <c r="J5" s="105"/>
      <c r="K5" s="102"/>
    </row>
    <row r="6" spans="1:11" s="106" customFormat="1" ht="15.6" customHeight="1">
      <c r="A6" s="11"/>
      <c r="B6" s="11"/>
      <c r="C6" s="11"/>
      <c r="D6" s="11"/>
      <c r="E6" s="10">
        <f t="shared" si="0"/>
        <v>2021</v>
      </c>
      <c r="F6" s="11"/>
      <c r="G6" s="11"/>
      <c r="H6" s="11"/>
      <c r="I6" s="11"/>
      <c r="J6" s="105"/>
      <c r="K6" s="102"/>
    </row>
    <row r="7" spans="1:11" s="106" customFormat="1" ht="27" customHeight="1">
      <c r="A7" s="107" t="s">
        <v>12</v>
      </c>
      <c r="B7" s="8" t="s">
        <v>13</v>
      </c>
      <c r="C7" s="13" t="s">
        <v>14</v>
      </c>
      <c r="D7" s="10">
        <v>10</v>
      </c>
      <c r="E7" s="10">
        <f t="shared" si="0"/>
        <v>2031</v>
      </c>
      <c r="F7" s="10">
        <v>10</v>
      </c>
      <c r="G7" s="13" t="s">
        <v>15</v>
      </c>
      <c r="H7" s="11"/>
      <c r="I7" s="11"/>
      <c r="J7" s="105"/>
      <c r="K7" s="101" t="s">
        <v>123</v>
      </c>
    </row>
    <row r="8" spans="1:11" s="106" customFormat="1" ht="39.6" customHeight="1">
      <c r="A8" s="11"/>
      <c r="B8" s="14" t="s">
        <v>16</v>
      </c>
      <c r="C8" s="8" t="s">
        <v>17</v>
      </c>
      <c r="D8" s="82">
        <v>12</v>
      </c>
      <c r="E8" s="10">
        <f t="shared" si="0"/>
        <v>2033</v>
      </c>
      <c r="F8" s="15">
        <v>12</v>
      </c>
      <c r="G8" s="11"/>
      <c r="H8" s="9">
        <v>15000</v>
      </c>
      <c r="I8" s="108">
        <f>H8/F8</f>
        <v>1250</v>
      </c>
      <c r="J8" s="105"/>
      <c r="K8" s="101" t="s">
        <v>123</v>
      </c>
    </row>
    <row r="9" spans="1:11" s="106" customFormat="1" ht="53.4" customHeight="1">
      <c r="A9" s="11"/>
      <c r="B9" s="8" t="s">
        <v>18</v>
      </c>
      <c r="C9" s="13" t="s">
        <v>19</v>
      </c>
      <c r="D9" s="82">
        <v>25</v>
      </c>
      <c r="E9" s="10">
        <f t="shared" si="0"/>
        <v>2046</v>
      </c>
      <c r="F9" s="10">
        <v>25</v>
      </c>
      <c r="G9" s="10">
        <v>100</v>
      </c>
      <c r="H9" s="109"/>
      <c r="I9" s="108">
        <v>0</v>
      </c>
      <c r="J9" s="105"/>
      <c r="K9" s="103" t="s">
        <v>141</v>
      </c>
    </row>
    <row r="10" spans="1:11" s="106" customFormat="1" ht="28.8">
      <c r="A10" s="107" t="s">
        <v>20</v>
      </c>
      <c r="B10" s="8" t="s">
        <v>21</v>
      </c>
      <c r="C10" s="110" t="s">
        <v>119</v>
      </c>
      <c r="D10" s="10">
        <v>25</v>
      </c>
      <c r="E10" s="10">
        <f t="shared" si="0"/>
        <v>2046</v>
      </c>
      <c r="F10" s="10">
        <v>25</v>
      </c>
      <c r="G10" s="11"/>
      <c r="H10" s="108">
        <v>10000</v>
      </c>
      <c r="I10" s="108">
        <f>H10/F10</f>
        <v>400</v>
      </c>
      <c r="J10" s="105"/>
      <c r="K10" s="101" t="s">
        <v>124</v>
      </c>
    </row>
    <row r="11" spans="1:11" s="106" customFormat="1" ht="43.2">
      <c r="A11" s="107" t="s">
        <v>22</v>
      </c>
      <c r="B11" s="111" t="s">
        <v>125</v>
      </c>
      <c r="C11" s="13" t="s">
        <v>23</v>
      </c>
      <c r="D11" s="10">
        <v>10</v>
      </c>
      <c r="E11" s="10">
        <f t="shared" si="0"/>
        <v>2031</v>
      </c>
      <c r="F11" s="10">
        <v>10</v>
      </c>
      <c r="G11" s="11"/>
      <c r="H11" s="108">
        <v>25000</v>
      </c>
      <c r="I11" s="108">
        <f>H11/F11</f>
        <v>2500</v>
      </c>
      <c r="J11" s="105"/>
      <c r="K11" s="101" t="s">
        <v>142</v>
      </c>
    </row>
    <row r="12" spans="1:11" s="106" customFormat="1" ht="27" customHeight="1">
      <c r="A12" s="107" t="s">
        <v>24</v>
      </c>
      <c r="B12" s="8" t="s">
        <v>25</v>
      </c>
      <c r="C12" s="13" t="s">
        <v>26</v>
      </c>
      <c r="D12" s="10">
        <v>10</v>
      </c>
      <c r="E12" s="10">
        <f t="shared" si="0"/>
        <v>2031</v>
      </c>
      <c r="F12" s="10">
        <v>10</v>
      </c>
      <c r="G12" s="11"/>
      <c r="H12" s="108">
        <v>10000</v>
      </c>
      <c r="I12" s="108">
        <f>H12/F12</f>
        <v>1000</v>
      </c>
      <c r="J12" s="105"/>
      <c r="K12" s="101" t="s">
        <v>126</v>
      </c>
    </row>
    <row r="13" spans="1:11" s="106" customFormat="1" ht="43.2">
      <c r="A13" s="107" t="s">
        <v>27</v>
      </c>
      <c r="B13" s="8" t="s">
        <v>144</v>
      </c>
      <c r="C13" s="109" t="s">
        <v>127</v>
      </c>
      <c r="D13" s="82">
        <v>10</v>
      </c>
      <c r="E13" s="82">
        <f t="shared" si="0"/>
        <v>2031</v>
      </c>
      <c r="F13" s="82">
        <v>10</v>
      </c>
      <c r="G13" s="112"/>
      <c r="H13" s="113">
        <v>5000</v>
      </c>
      <c r="I13" s="108">
        <f>H13/F13</f>
        <v>500</v>
      </c>
      <c r="J13" s="105"/>
      <c r="K13" s="101" t="s">
        <v>143</v>
      </c>
    </row>
    <row r="14" spans="1:11" s="106" customFormat="1" ht="15.6" customHeight="1">
      <c r="A14" s="11"/>
      <c r="B14" s="11"/>
      <c r="C14" s="11"/>
      <c r="D14" s="11"/>
      <c r="E14" s="11"/>
      <c r="F14" s="11"/>
      <c r="G14" s="11"/>
      <c r="H14" s="114"/>
      <c r="I14" s="114"/>
      <c r="J14" s="105"/>
      <c r="K14" s="102"/>
    </row>
    <row r="15" spans="1:11" s="106" customFormat="1" ht="15.6" customHeight="1">
      <c r="A15" s="107" t="s">
        <v>28</v>
      </c>
      <c r="B15" s="11"/>
      <c r="C15" s="11"/>
      <c r="D15" s="11"/>
      <c r="E15" s="11"/>
      <c r="F15" s="11"/>
      <c r="G15" s="11"/>
      <c r="H15" s="114"/>
      <c r="I15" s="114"/>
      <c r="J15" s="105"/>
      <c r="K15" s="102"/>
    </row>
    <row r="16" spans="1:11" s="106" customFormat="1" ht="27" customHeight="1">
      <c r="A16" s="107" t="s">
        <v>29</v>
      </c>
      <c r="B16" s="14" t="s">
        <v>30</v>
      </c>
      <c r="C16" s="13" t="s">
        <v>31</v>
      </c>
      <c r="D16" s="10">
        <v>1</v>
      </c>
      <c r="E16" s="10">
        <f>$J$2+D16</f>
        <v>2022</v>
      </c>
      <c r="F16" s="115">
        <v>1</v>
      </c>
      <c r="G16" s="11"/>
      <c r="H16" s="114"/>
      <c r="I16" s="114"/>
      <c r="J16" s="105"/>
      <c r="K16" s="102"/>
    </row>
    <row r="17" spans="1:11" s="106" customFormat="1" ht="15.6" customHeight="1">
      <c r="A17" s="11"/>
      <c r="B17" s="11"/>
      <c r="C17" s="11"/>
      <c r="D17" s="11"/>
      <c r="E17" s="11"/>
      <c r="F17" s="11"/>
      <c r="G17" s="11"/>
      <c r="H17" s="114"/>
      <c r="I17" s="114"/>
      <c r="J17" s="105"/>
      <c r="K17" s="102"/>
    </row>
    <row r="18" spans="1:11" s="106" customFormat="1" ht="40.200000000000003" customHeight="1">
      <c r="A18" s="107" t="s">
        <v>32</v>
      </c>
      <c r="B18" s="8" t="s">
        <v>33</v>
      </c>
      <c r="C18" s="13" t="s">
        <v>34</v>
      </c>
      <c r="D18" s="10">
        <v>1</v>
      </c>
      <c r="E18" s="10">
        <f>$J$2+D18</f>
        <v>2022</v>
      </c>
      <c r="F18" s="115">
        <v>1</v>
      </c>
      <c r="G18" s="11"/>
      <c r="H18" s="108">
        <v>5000</v>
      </c>
      <c r="I18" s="108">
        <f>H18/F18</f>
        <v>5000</v>
      </c>
      <c r="J18" s="105"/>
      <c r="K18" s="101" t="s">
        <v>128</v>
      </c>
    </row>
    <row r="19" spans="1:11" s="106" customFormat="1" ht="27" customHeight="1">
      <c r="A19" s="116"/>
      <c r="B19" s="117" t="s">
        <v>35</v>
      </c>
      <c r="C19" s="109" t="s">
        <v>36</v>
      </c>
      <c r="D19" s="82">
        <v>1</v>
      </c>
      <c r="E19" s="82">
        <f>$J$2+D19</f>
        <v>2022</v>
      </c>
      <c r="F19" s="118">
        <v>1</v>
      </c>
      <c r="G19" s="112"/>
      <c r="H19" s="113">
        <v>5000</v>
      </c>
      <c r="I19" s="113">
        <f>H19/F19</f>
        <v>5000</v>
      </c>
      <c r="J19" s="105"/>
      <c r="K19" s="102"/>
    </row>
    <row r="20" spans="1:11" s="106" customFormat="1" ht="15.6" customHeight="1">
      <c r="A20" s="116"/>
      <c r="B20" s="117" t="s">
        <v>37</v>
      </c>
      <c r="C20" s="109" t="s">
        <v>38</v>
      </c>
      <c r="D20" s="82">
        <v>0</v>
      </c>
      <c r="E20" s="89"/>
      <c r="F20" s="112"/>
      <c r="G20" s="112"/>
      <c r="H20" s="113"/>
      <c r="I20" s="113"/>
      <c r="J20" s="105"/>
      <c r="K20" s="102"/>
    </row>
    <row r="21" spans="1:11" s="106" customFormat="1" ht="40.200000000000003" customHeight="1">
      <c r="A21" s="11"/>
      <c r="B21" s="117" t="s">
        <v>39</v>
      </c>
      <c r="C21" s="109" t="s">
        <v>40</v>
      </c>
      <c r="D21" s="10">
        <v>1</v>
      </c>
      <c r="E21" s="10">
        <f>$J$2+D21</f>
        <v>2022</v>
      </c>
      <c r="F21" s="115">
        <v>1</v>
      </c>
      <c r="G21" s="11"/>
      <c r="H21" s="108">
        <v>5000</v>
      </c>
      <c r="I21" s="108">
        <v>5000</v>
      </c>
      <c r="J21" s="105"/>
      <c r="K21" s="102"/>
    </row>
    <row r="22" spans="1:11" s="106" customFormat="1" ht="15.6" customHeight="1">
      <c r="A22" s="119" t="s">
        <v>41</v>
      </c>
      <c r="B22" s="119" t="s">
        <v>42</v>
      </c>
      <c r="C22" s="119" t="s">
        <v>43</v>
      </c>
      <c r="D22" s="10">
        <v>1</v>
      </c>
      <c r="E22" s="10">
        <v>2020</v>
      </c>
      <c r="F22" s="16"/>
      <c r="G22" s="11"/>
      <c r="H22" s="114"/>
      <c r="I22" s="108"/>
      <c r="J22" s="105"/>
      <c r="K22" s="102"/>
    </row>
    <row r="23" spans="1:11" s="106" customFormat="1" ht="27" customHeight="1">
      <c r="A23" s="107" t="s">
        <v>44</v>
      </c>
      <c r="B23" s="8" t="s">
        <v>45</v>
      </c>
      <c r="C23" s="13" t="s">
        <v>46</v>
      </c>
      <c r="D23" s="10">
        <v>1</v>
      </c>
      <c r="E23" s="10">
        <f>$J$2+D23</f>
        <v>2022</v>
      </c>
      <c r="F23" s="115">
        <v>1</v>
      </c>
      <c r="G23" s="11"/>
      <c r="H23" s="108">
        <v>2000</v>
      </c>
      <c r="I23" s="108">
        <v>2000</v>
      </c>
      <c r="J23" s="105"/>
      <c r="K23" s="102"/>
    </row>
    <row r="24" spans="1:11" s="106" customFormat="1" ht="13.5" customHeight="1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2"/>
    </row>
    <row r="25" spans="1:11" s="106" customFormat="1" ht="31.2" customHeight="1">
      <c r="A25" s="107" t="s">
        <v>47</v>
      </c>
      <c r="B25" s="8" t="s">
        <v>48</v>
      </c>
      <c r="C25" s="119" t="s">
        <v>49</v>
      </c>
      <c r="D25" s="11"/>
      <c r="E25" s="11"/>
      <c r="F25" s="11"/>
      <c r="G25" s="11"/>
      <c r="H25" s="108">
        <v>0</v>
      </c>
      <c r="I25" s="108"/>
      <c r="J25" s="105"/>
      <c r="K25" s="102"/>
    </row>
    <row r="26" spans="1:11" s="106" customFormat="1" ht="14.4" customHeight="1">
      <c r="A26" s="107"/>
      <c r="B26" s="8"/>
      <c r="C26" s="120"/>
      <c r="D26" s="11"/>
      <c r="E26" s="11"/>
      <c r="F26" s="11"/>
      <c r="G26" s="11"/>
      <c r="H26" s="108"/>
      <c r="I26" s="108"/>
      <c r="J26" s="105"/>
      <c r="K26" s="102"/>
    </row>
    <row r="27" spans="1:11" s="106" customFormat="1" ht="31.2" customHeight="1">
      <c r="A27" s="121" t="s">
        <v>129</v>
      </c>
      <c r="B27" s="111" t="s">
        <v>130</v>
      </c>
      <c r="C27" s="120"/>
      <c r="D27" s="11">
        <v>50</v>
      </c>
      <c r="E27" s="11"/>
      <c r="F27" s="11">
        <v>50</v>
      </c>
      <c r="G27" s="11"/>
      <c r="H27" s="108"/>
      <c r="I27" s="108"/>
      <c r="J27" s="105"/>
      <c r="K27" s="101" t="s">
        <v>131</v>
      </c>
    </row>
    <row r="28" spans="1:11" ht="15.6" customHeight="1">
      <c r="A28" s="1"/>
      <c r="B28" s="1"/>
      <c r="C28" s="1"/>
      <c r="D28" s="1"/>
      <c r="E28" s="1"/>
      <c r="F28" s="1"/>
      <c r="G28" s="1"/>
      <c r="H28" s="17" t="s">
        <v>50</v>
      </c>
      <c r="I28" s="18">
        <f>SUM(I4:I24)</f>
        <v>30650</v>
      </c>
      <c r="J28" s="1"/>
      <c r="K28" s="88"/>
    </row>
    <row r="29" spans="1:11" ht="13.5" customHeight="1">
      <c r="A29" s="1"/>
      <c r="B29" s="1"/>
      <c r="C29" s="1"/>
      <c r="D29" s="1"/>
      <c r="E29" s="1"/>
      <c r="F29" s="1"/>
      <c r="G29" s="1"/>
      <c r="H29" s="90" t="s">
        <v>136</v>
      </c>
      <c r="I29" s="19">
        <f>I28*0.1</f>
        <v>3065</v>
      </c>
      <c r="J29" s="1"/>
      <c r="K29" s="88"/>
    </row>
    <row r="30" spans="1:11" ht="13.5" customHeight="1">
      <c r="A30" s="1"/>
      <c r="B30" s="1"/>
      <c r="C30" s="1"/>
      <c r="D30" s="1"/>
      <c r="E30" s="1"/>
      <c r="F30" s="1"/>
      <c r="G30" s="1"/>
      <c r="H30" s="17" t="s">
        <v>51</v>
      </c>
      <c r="I30" s="20">
        <f>SUM(I28:I29)</f>
        <v>33715</v>
      </c>
      <c r="J30" s="1"/>
      <c r="K30" s="88"/>
    </row>
    <row r="33" spans="1:1" ht="14.4" customHeight="1">
      <c r="A33" s="85" t="s">
        <v>132</v>
      </c>
    </row>
    <row r="34" spans="1:1" ht="14.4" customHeight="1">
      <c r="A34" s="84" t="s">
        <v>133</v>
      </c>
    </row>
    <row r="36" spans="1:1" ht="14.4" customHeight="1">
      <c r="A36" s="85" t="s">
        <v>134</v>
      </c>
    </row>
    <row r="37" spans="1:1" ht="14.4" customHeight="1">
      <c r="A37" s="84" t="s">
        <v>135</v>
      </c>
    </row>
    <row r="38" spans="1:1" ht="14.4" customHeight="1">
      <c r="A38" s="84" t="s">
        <v>140</v>
      </c>
    </row>
    <row r="39" spans="1:1" ht="14.4" customHeight="1">
      <c r="A39" s="84" t="s">
        <v>139</v>
      </c>
    </row>
    <row r="40" spans="1:1" ht="14.4" customHeight="1">
      <c r="A40" s="84" t="s">
        <v>145</v>
      </c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115"/>
  <sheetViews>
    <sheetView showGridLines="0" topLeftCell="B21" workbookViewId="0">
      <selection activeCell="O33" sqref="O33"/>
    </sheetView>
  </sheetViews>
  <sheetFormatPr defaultColWidth="8.88671875" defaultRowHeight="14.4" customHeight="1"/>
  <cols>
    <col min="1" max="1" width="8.77734375" style="21" hidden="1" customWidth="1"/>
    <col min="2" max="2" width="11.88671875" style="21" customWidth="1"/>
    <col min="3" max="3" width="12.44140625" style="21" customWidth="1"/>
    <col min="4" max="4" width="13.21875" style="21" customWidth="1"/>
    <col min="5" max="5" width="8.77734375" style="21" hidden="1" customWidth="1"/>
    <col min="6" max="6" width="10.21875" style="21" customWidth="1"/>
    <col min="7" max="7" width="8.77734375" style="21" hidden="1" customWidth="1"/>
    <col min="8" max="9" width="11.88671875" style="21" customWidth="1"/>
    <col min="10" max="10" width="8.77734375" style="21" hidden="1" customWidth="1"/>
    <col min="11" max="14" width="11.88671875" style="21" customWidth="1"/>
    <col min="15" max="15" width="10.21875" style="21" customWidth="1"/>
    <col min="16" max="16" width="8.88671875" style="21" customWidth="1"/>
    <col min="17" max="17" width="2.44140625" style="21" customWidth="1"/>
    <col min="18" max="18" width="13.21875" style="21" customWidth="1"/>
    <col min="19" max="19" width="2.44140625" style="21" customWidth="1"/>
    <col min="20" max="22" width="8.88671875" style="21" customWidth="1"/>
    <col min="23" max="16384" width="8.88671875" style="21"/>
  </cols>
  <sheetData>
    <row r="1" spans="1:21" ht="14.4" customHeight="1">
      <c r="A1" s="1"/>
      <c r="B1" s="22"/>
      <c r="C1" s="23" t="s">
        <v>52</v>
      </c>
      <c r="D1" s="24"/>
      <c r="E1" s="1"/>
      <c r="F1" s="25"/>
      <c r="G1" s="1"/>
      <c r="H1" s="1"/>
      <c r="I1" s="1"/>
      <c r="J1" s="1"/>
      <c r="K1" s="1"/>
      <c r="L1" s="1"/>
      <c r="M1" s="1"/>
      <c r="N1" s="1"/>
      <c r="O1" s="1"/>
      <c r="P1" s="4"/>
      <c r="Q1" s="1"/>
      <c r="R1" s="1"/>
      <c r="S1" s="1"/>
      <c r="T1" s="1"/>
      <c r="U1" s="1"/>
    </row>
    <row r="2" spans="1:21" ht="14.4" customHeight="1">
      <c r="A2" s="1"/>
      <c r="B2" s="22"/>
      <c r="C2" s="26" t="s">
        <v>53</v>
      </c>
      <c r="D2" s="24"/>
      <c r="E2" s="1"/>
      <c r="F2" s="25"/>
      <c r="G2" s="27"/>
      <c r="H2" s="27"/>
      <c r="I2" s="27"/>
      <c r="J2" s="27"/>
      <c r="K2" s="27"/>
      <c r="L2" s="27"/>
      <c r="M2" s="27"/>
      <c r="N2" s="27"/>
      <c r="O2" s="1"/>
      <c r="P2" s="4"/>
      <c r="Q2" s="1"/>
      <c r="R2" s="27"/>
      <c r="S2" s="1"/>
      <c r="T2" s="1"/>
      <c r="U2" s="1"/>
    </row>
    <row r="3" spans="1:21" ht="14.4" customHeight="1">
      <c r="A3" s="1"/>
      <c r="B3" s="28"/>
      <c r="C3" s="29"/>
      <c r="D3" s="28"/>
      <c r="E3" s="28"/>
      <c r="F3" s="30"/>
      <c r="G3" s="31"/>
      <c r="H3" s="32" t="s">
        <v>52</v>
      </c>
      <c r="I3" s="32" t="s">
        <v>52</v>
      </c>
      <c r="J3" s="32" t="s">
        <v>52</v>
      </c>
      <c r="K3" s="32" t="s">
        <v>52</v>
      </c>
      <c r="L3" s="32" t="s">
        <v>52</v>
      </c>
      <c r="M3" s="32" t="s">
        <v>52</v>
      </c>
      <c r="N3" s="32" t="s">
        <v>52</v>
      </c>
      <c r="O3" s="33"/>
      <c r="P3" s="34"/>
      <c r="Q3" s="30"/>
      <c r="R3" s="32" t="s">
        <v>52</v>
      </c>
      <c r="S3" s="33"/>
      <c r="T3" s="1"/>
      <c r="U3" s="1"/>
    </row>
    <row r="4" spans="1:21" ht="14.4" customHeight="1">
      <c r="A4" s="35"/>
      <c r="B4" s="36"/>
      <c r="C4" s="36"/>
      <c r="D4" s="36"/>
      <c r="E4" s="36"/>
      <c r="F4" s="36"/>
      <c r="G4" s="37"/>
      <c r="H4" s="38">
        <f>SUMIF($L$40:$L$69,"I",$M$40:$M$69)</f>
        <v>21999</v>
      </c>
      <c r="I4" s="38">
        <f>SUMIF($L$40:$L$69,"LT",$M$40:$M$69)</f>
        <v>33715</v>
      </c>
      <c r="J4" s="38">
        <f>SUMIF($L$40:$L$69,"M",$M$40:$M$69)</f>
        <v>0</v>
      </c>
      <c r="K4" s="38">
        <f>SUMIF($L$40:$L$69,"E",$M$40:$M$69)</f>
        <v>3675</v>
      </c>
      <c r="L4" s="38">
        <f>SUMIF($L$40:$L$69,"S",$M$40:$M$69)</f>
        <v>3877</v>
      </c>
      <c r="M4" s="38">
        <f>SUMIF($L$40:$L$69,"A",$M$40:$M$69)</f>
        <v>2520</v>
      </c>
      <c r="N4" s="38">
        <f>SUM(M40:M65)*0.1</f>
        <v>3207.1000000000004</v>
      </c>
      <c r="O4" s="36"/>
      <c r="P4" s="39"/>
      <c r="Q4" s="36"/>
      <c r="R4" s="38">
        <f>36388.98*1.07</f>
        <v>38936.208600000005</v>
      </c>
      <c r="S4" s="36"/>
      <c r="T4" s="40"/>
      <c r="U4" s="1"/>
    </row>
    <row r="5" spans="1:21" ht="15.6" customHeight="1">
      <c r="A5" s="35"/>
      <c r="B5" s="41" t="s">
        <v>54</v>
      </c>
      <c r="C5" s="36"/>
      <c r="D5" s="36"/>
      <c r="E5" s="36"/>
      <c r="F5" s="36"/>
      <c r="G5" s="42"/>
      <c r="H5" s="43"/>
      <c r="I5" s="43"/>
      <c r="J5" s="43"/>
      <c r="K5" s="43"/>
      <c r="L5" s="43"/>
      <c r="M5" s="43"/>
      <c r="N5" s="43"/>
      <c r="O5" s="36"/>
      <c r="P5" s="39"/>
      <c r="Q5" s="36"/>
      <c r="R5" s="43"/>
      <c r="S5" s="36"/>
      <c r="T5" s="40"/>
      <c r="U5" s="1"/>
    </row>
    <row r="6" spans="1:21" ht="57.6" customHeight="1">
      <c r="A6" s="44" t="s">
        <v>55</v>
      </c>
      <c r="B6" s="45" t="s">
        <v>56</v>
      </c>
      <c r="C6" s="46" t="s">
        <v>57</v>
      </c>
      <c r="D6" s="46" t="s">
        <v>58</v>
      </c>
      <c r="E6" s="46" t="s">
        <v>59</v>
      </c>
      <c r="F6" s="46" t="s">
        <v>60</v>
      </c>
      <c r="G6" s="47"/>
      <c r="H6" s="48" t="s">
        <v>61</v>
      </c>
      <c r="I6" s="48" t="s">
        <v>62</v>
      </c>
      <c r="J6" s="49" t="s">
        <v>63</v>
      </c>
      <c r="K6" s="49" t="s">
        <v>64</v>
      </c>
      <c r="L6" s="49" t="s">
        <v>65</v>
      </c>
      <c r="M6" s="49" t="s">
        <v>66</v>
      </c>
      <c r="N6" s="93" t="s">
        <v>138</v>
      </c>
      <c r="O6" s="50" t="s">
        <v>67</v>
      </c>
      <c r="P6" s="46" t="s">
        <v>68</v>
      </c>
      <c r="Q6" s="36"/>
      <c r="R6" s="49" t="s">
        <v>69</v>
      </c>
      <c r="S6" s="36"/>
      <c r="T6" s="40"/>
      <c r="U6" s="1"/>
    </row>
    <row r="7" spans="1:21" ht="14.4" customHeight="1">
      <c r="A7" s="51">
        <v>1</v>
      </c>
      <c r="B7" s="52" t="s">
        <v>70</v>
      </c>
      <c r="C7" s="38">
        <v>840140.55</v>
      </c>
      <c r="D7" s="43">
        <f t="shared" ref="D7:D30" si="0">C7/1.15</f>
        <v>730557.00000000012</v>
      </c>
      <c r="E7" s="43">
        <f t="shared" ref="E7:E30" si="1">C7-D7</f>
        <v>109583.54999999993</v>
      </c>
      <c r="F7" s="53">
        <f t="shared" ref="F7:F31" si="2">C7/$C$31</f>
        <v>6.3943703122003565E-2</v>
      </c>
      <c r="G7" s="54"/>
      <c r="H7" s="55">
        <f t="shared" ref="H7:N16" si="3">IF(H$3=$C$1,$F7*H$4,H$4/22)</f>
        <v>1406.6975249809564</v>
      </c>
      <c r="I7" s="55">
        <f t="shared" si="3"/>
        <v>2155.8619507583503</v>
      </c>
      <c r="J7" s="55">
        <f t="shared" si="3"/>
        <v>0</v>
      </c>
      <c r="K7" s="55">
        <f t="shared" si="3"/>
        <v>234.99310897336309</v>
      </c>
      <c r="L7" s="55">
        <f t="shared" si="3"/>
        <v>247.90973700400781</v>
      </c>
      <c r="M7" s="55">
        <f t="shared" si="3"/>
        <v>161.13813186744898</v>
      </c>
      <c r="N7" s="55">
        <f>IF(N$3=$C$1,$F7*N$4,N$4/22)</f>
        <v>205.07385028257767</v>
      </c>
      <c r="O7" s="56">
        <f t="shared" ref="O7:O30" si="4">SUM(G7,H7,I7,J7,K7,L7,M7,N7)</f>
        <v>4411.6743038667046</v>
      </c>
      <c r="P7" s="57">
        <f t="shared" ref="P7:P30" si="5">O7/52</f>
        <v>84.839890458975091</v>
      </c>
      <c r="Q7" s="36"/>
      <c r="R7" s="38">
        <f t="shared" ref="R7:R30" si="6">IF(R$3=$C$1,$F7*R$4,R$4/22)</f>
        <v>2489.7253634148024</v>
      </c>
      <c r="S7" s="36"/>
      <c r="T7" s="40"/>
      <c r="U7" s="1"/>
    </row>
    <row r="8" spans="1:21" ht="14.4" customHeight="1">
      <c r="A8" s="51">
        <f>A7+1</f>
        <v>2</v>
      </c>
      <c r="B8" s="52" t="s">
        <v>71</v>
      </c>
      <c r="C8" s="38">
        <v>844505.95</v>
      </c>
      <c r="D8" s="43">
        <f t="shared" si="0"/>
        <v>734353</v>
      </c>
      <c r="E8" s="43">
        <f t="shared" si="1"/>
        <v>110152.94999999995</v>
      </c>
      <c r="F8" s="53">
        <f t="shared" si="2"/>
        <v>6.4275956864081343E-2</v>
      </c>
      <c r="G8" s="54"/>
      <c r="H8" s="55">
        <f t="shared" si="3"/>
        <v>1414.0067750529254</v>
      </c>
      <c r="I8" s="55">
        <f t="shared" si="3"/>
        <v>2167.0638856725027</v>
      </c>
      <c r="J8" s="55">
        <f t="shared" si="3"/>
        <v>0</v>
      </c>
      <c r="K8" s="55">
        <f t="shared" si="3"/>
        <v>236.21414147549893</v>
      </c>
      <c r="L8" s="55">
        <f t="shared" si="3"/>
        <v>249.19788476204337</v>
      </c>
      <c r="M8" s="55">
        <f t="shared" si="3"/>
        <v>161.97541129748498</v>
      </c>
      <c r="N8" s="55">
        <f t="shared" si="3"/>
        <v>206.13942125879529</v>
      </c>
      <c r="O8" s="56">
        <f t="shared" si="4"/>
        <v>4434.5975195192505</v>
      </c>
      <c r="P8" s="57">
        <f t="shared" si="5"/>
        <v>85.280721529216351</v>
      </c>
      <c r="Q8" s="36"/>
      <c r="R8" s="38">
        <f t="shared" si="6"/>
        <v>2502.6620644244736</v>
      </c>
      <c r="S8" s="36"/>
      <c r="T8" s="40"/>
      <c r="U8" s="1"/>
    </row>
    <row r="9" spans="1:21" ht="14.4" customHeight="1">
      <c r="A9" s="51">
        <f>A8+1</f>
        <v>3</v>
      </c>
      <c r="B9" s="52" t="s">
        <v>72</v>
      </c>
      <c r="C9" s="38">
        <v>846274.65</v>
      </c>
      <c r="D9" s="43">
        <f t="shared" si="0"/>
        <v>735891.00000000012</v>
      </c>
      <c r="E9" s="43">
        <f t="shared" si="1"/>
        <v>110383.64999999991</v>
      </c>
      <c r="F9" s="53">
        <f t="shared" si="2"/>
        <v>6.4410573896567042E-2</v>
      </c>
      <c r="G9" s="54"/>
      <c r="H9" s="55">
        <f t="shared" si="3"/>
        <v>1416.9682151505783</v>
      </c>
      <c r="I9" s="55">
        <f t="shared" si="3"/>
        <v>2171.6024989227576</v>
      </c>
      <c r="J9" s="55">
        <f t="shared" si="3"/>
        <v>0</v>
      </c>
      <c r="K9" s="55">
        <f t="shared" si="3"/>
        <v>236.70885906988389</v>
      </c>
      <c r="L9" s="55">
        <f t="shared" si="3"/>
        <v>249.71979499699043</v>
      </c>
      <c r="M9" s="55">
        <f t="shared" si="3"/>
        <v>162.31464621934896</v>
      </c>
      <c r="N9" s="55">
        <f t="shared" si="3"/>
        <v>206.57115154368017</v>
      </c>
      <c r="O9" s="56">
        <f t="shared" si="4"/>
        <v>4443.8851659032398</v>
      </c>
      <c r="P9" s="57">
        <f t="shared" si="5"/>
        <v>85.459330113523848</v>
      </c>
      <c r="Q9" s="36"/>
      <c r="R9" s="38">
        <f t="shared" si="6"/>
        <v>2507.9035412824496</v>
      </c>
      <c r="S9" s="36"/>
      <c r="T9" s="40"/>
      <c r="U9" s="1"/>
    </row>
    <row r="10" spans="1:21" ht="14.4" customHeight="1">
      <c r="A10" s="51">
        <v>4</v>
      </c>
      <c r="B10" s="52" t="s">
        <v>73</v>
      </c>
      <c r="C10" s="38">
        <v>349870.25</v>
      </c>
      <c r="D10" s="43">
        <f t="shared" si="0"/>
        <v>304235</v>
      </c>
      <c r="E10" s="43">
        <f t="shared" si="1"/>
        <v>45635.25</v>
      </c>
      <c r="F10" s="53">
        <f t="shared" si="2"/>
        <v>2.6628877033992904E-2</v>
      </c>
      <c r="G10" s="54"/>
      <c r="H10" s="55">
        <f t="shared" si="3"/>
        <v>585.80866587080993</v>
      </c>
      <c r="I10" s="55">
        <f t="shared" si="3"/>
        <v>897.79258920107077</v>
      </c>
      <c r="J10" s="55">
        <f t="shared" si="3"/>
        <v>0</v>
      </c>
      <c r="K10" s="55">
        <f t="shared" si="3"/>
        <v>97.86112309992393</v>
      </c>
      <c r="L10" s="55">
        <f t="shared" si="3"/>
        <v>103.24015626079049</v>
      </c>
      <c r="M10" s="55">
        <f t="shared" si="3"/>
        <v>67.104770125662114</v>
      </c>
      <c r="N10" s="55">
        <f t="shared" si="3"/>
        <v>85.401471535718656</v>
      </c>
      <c r="O10" s="56">
        <f t="shared" si="4"/>
        <v>1837.2087760939758</v>
      </c>
      <c r="P10" s="57">
        <f t="shared" si="5"/>
        <v>35.330938001807226</v>
      </c>
      <c r="Q10" s="36"/>
      <c r="R10" s="38">
        <f t="shared" si="6"/>
        <v>1036.8275109792971</v>
      </c>
      <c r="S10" s="36"/>
      <c r="T10" s="40"/>
      <c r="U10" s="1"/>
    </row>
    <row r="11" spans="1:21" ht="14.4" customHeight="1">
      <c r="A11" s="51">
        <f>A10+1</f>
        <v>5</v>
      </c>
      <c r="B11" s="52" t="s">
        <v>74</v>
      </c>
      <c r="C11" s="38">
        <v>346489.25</v>
      </c>
      <c r="D11" s="43">
        <f t="shared" si="0"/>
        <v>301295</v>
      </c>
      <c r="E11" s="43">
        <f t="shared" si="1"/>
        <v>45194.25</v>
      </c>
      <c r="F11" s="53">
        <f t="shared" si="2"/>
        <v>2.6371546685808312E-2</v>
      </c>
      <c r="G11" s="54"/>
      <c r="H11" s="55">
        <f t="shared" si="3"/>
        <v>580.14765554109704</v>
      </c>
      <c r="I11" s="55">
        <f t="shared" si="3"/>
        <v>889.11669651202726</v>
      </c>
      <c r="J11" s="55">
        <f t="shared" si="3"/>
        <v>0</v>
      </c>
      <c r="K11" s="55">
        <f t="shared" si="3"/>
        <v>96.91543407034554</v>
      </c>
      <c r="L11" s="55">
        <f t="shared" si="3"/>
        <v>102.24248650087883</v>
      </c>
      <c r="M11" s="55">
        <f t="shared" si="3"/>
        <v>66.456297648236941</v>
      </c>
      <c r="N11" s="55">
        <f t="shared" si="3"/>
        <v>84.576187376055842</v>
      </c>
      <c r="O11" s="56">
        <f t="shared" si="4"/>
        <v>1819.4547576486414</v>
      </c>
      <c r="P11" s="57">
        <f t="shared" si="5"/>
        <v>34.989514570166179</v>
      </c>
      <c r="Q11" s="36"/>
      <c r="R11" s="38">
        <f t="shared" si="6"/>
        <v>1026.8080428632713</v>
      </c>
      <c r="S11" s="36"/>
      <c r="T11" s="40"/>
      <c r="U11" s="1"/>
    </row>
    <row r="12" spans="1:21" ht="14.4" customHeight="1">
      <c r="A12" s="51">
        <f>A11+1</f>
        <v>6</v>
      </c>
      <c r="B12" s="52" t="s">
        <v>75</v>
      </c>
      <c r="C12" s="38">
        <v>346489.25</v>
      </c>
      <c r="D12" s="43">
        <f t="shared" si="0"/>
        <v>301295</v>
      </c>
      <c r="E12" s="43">
        <f t="shared" si="1"/>
        <v>45194.25</v>
      </c>
      <c r="F12" s="53">
        <f t="shared" si="2"/>
        <v>2.6371546685808312E-2</v>
      </c>
      <c r="G12" s="54"/>
      <c r="H12" s="55">
        <f t="shared" si="3"/>
        <v>580.14765554109704</v>
      </c>
      <c r="I12" s="55">
        <f t="shared" si="3"/>
        <v>889.11669651202726</v>
      </c>
      <c r="J12" s="55">
        <f t="shared" si="3"/>
        <v>0</v>
      </c>
      <c r="K12" s="55">
        <f t="shared" si="3"/>
        <v>96.91543407034554</v>
      </c>
      <c r="L12" s="55">
        <f t="shared" si="3"/>
        <v>102.24248650087883</v>
      </c>
      <c r="M12" s="55">
        <f t="shared" si="3"/>
        <v>66.456297648236941</v>
      </c>
      <c r="N12" s="55">
        <f t="shared" si="3"/>
        <v>84.576187376055842</v>
      </c>
      <c r="O12" s="56">
        <f t="shared" si="4"/>
        <v>1819.4547576486414</v>
      </c>
      <c r="P12" s="57">
        <f t="shared" si="5"/>
        <v>34.989514570166179</v>
      </c>
      <c r="Q12" s="36"/>
      <c r="R12" s="38">
        <f t="shared" si="6"/>
        <v>1026.8080428632713</v>
      </c>
      <c r="S12" s="36"/>
      <c r="T12" s="40"/>
      <c r="U12" s="1"/>
    </row>
    <row r="13" spans="1:21" ht="14.4" customHeight="1">
      <c r="A13" s="51">
        <f>A12+1</f>
        <v>7</v>
      </c>
      <c r="B13" s="52" t="s">
        <v>76</v>
      </c>
      <c r="C13" s="38">
        <v>346489.25</v>
      </c>
      <c r="D13" s="43">
        <f t="shared" si="0"/>
        <v>301295</v>
      </c>
      <c r="E13" s="43">
        <f t="shared" si="1"/>
        <v>45194.25</v>
      </c>
      <c r="F13" s="53">
        <f t="shared" si="2"/>
        <v>2.6371546685808312E-2</v>
      </c>
      <c r="G13" s="54"/>
      <c r="H13" s="55">
        <f t="shared" si="3"/>
        <v>580.14765554109704</v>
      </c>
      <c r="I13" s="55">
        <f t="shared" si="3"/>
        <v>889.11669651202726</v>
      </c>
      <c r="J13" s="55">
        <f t="shared" si="3"/>
        <v>0</v>
      </c>
      <c r="K13" s="55">
        <f t="shared" si="3"/>
        <v>96.91543407034554</v>
      </c>
      <c r="L13" s="55">
        <f t="shared" si="3"/>
        <v>102.24248650087883</v>
      </c>
      <c r="M13" s="55">
        <f t="shared" si="3"/>
        <v>66.456297648236941</v>
      </c>
      <c r="N13" s="55">
        <f t="shared" si="3"/>
        <v>84.576187376055842</v>
      </c>
      <c r="O13" s="56">
        <f t="shared" si="4"/>
        <v>1819.4547576486414</v>
      </c>
      <c r="P13" s="57">
        <f t="shared" si="5"/>
        <v>34.989514570166179</v>
      </c>
      <c r="Q13" s="36"/>
      <c r="R13" s="38">
        <f t="shared" si="6"/>
        <v>1026.8080428632713</v>
      </c>
      <c r="S13" s="36"/>
      <c r="T13" s="40"/>
      <c r="U13" s="1"/>
    </row>
    <row r="14" spans="1:21" ht="14.4" customHeight="1">
      <c r="A14" s="51">
        <f>A13+1</f>
        <v>8</v>
      </c>
      <c r="B14" s="52" t="s">
        <v>77</v>
      </c>
      <c r="C14" s="38">
        <v>346489.25</v>
      </c>
      <c r="D14" s="43">
        <f t="shared" si="0"/>
        <v>301295</v>
      </c>
      <c r="E14" s="43">
        <f t="shared" si="1"/>
        <v>45194.25</v>
      </c>
      <c r="F14" s="53">
        <f t="shared" si="2"/>
        <v>2.6371546685808312E-2</v>
      </c>
      <c r="G14" s="54"/>
      <c r="H14" s="55">
        <f t="shared" si="3"/>
        <v>580.14765554109704</v>
      </c>
      <c r="I14" s="55">
        <f t="shared" si="3"/>
        <v>889.11669651202726</v>
      </c>
      <c r="J14" s="55">
        <f t="shared" si="3"/>
        <v>0</v>
      </c>
      <c r="K14" s="55">
        <f t="shared" si="3"/>
        <v>96.91543407034554</v>
      </c>
      <c r="L14" s="55">
        <f t="shared" si="3"/>
        <v>102.24248650087883</v>
      </c>
      <c r="M14" s="55">
        <f t="shared" si="3"/>
        <v>66.456297648236941</v>
      </c>
      <c r="N14" s="55">
        <f t="shared" si="3"/>
        <v>84.576187376055842</v>
      </c>
      <c r="O14" s="56">
        <f t="shared" si="4"/>
        <v>1819.4547576486414</v>
      </c>
      <c r="P14" s="57">
        <f t="shared" si="5"/>
        <v>34.989514570166179</v>
      </c>
      <c r="Q14" s="36"/>
      <c r="R14" s="38">
        <f t="shared" si="6"/>
        <v>1026.8080428632713</v>
      </c>
      <c r="S14" s="36"/>
      <c r="T14" s="40"/>
      <c r="U14" s="1"/>
    </row>
    <row r="15" spans="1:21" ht="14.4" customHeight="1">
      <c r="A15" s="51">
        <f>A14+1</f>
        <v>9</v>
      </c>
      <c r="B15" s="52" t="s">
        <v>78</v>
      </c>
      <c r="C15" s="38">
        <v>346780.2</v>
      </c>
      <c r="D15" s="43">
        <f t="shared" si="0"/>
        <v>301548.00000000006</v>
      </c>
      <c r="E15" s="43">
        <f t="shared" si="1"/>
        <v>45232.199999999953</v>
      </c>
      <c r="F15" s="53">
        <f t="shared" si="2"/>
        <v>2.6393691100124878E-2</v>
      </c>
      <c r="G15" s="54"/>
      <c r="H15" s="55">
        <f t="shared" si="3"/>
        <v>580.63481051164717</v>
      </c>
      <c r="I15" s="55">
        <f t="shared" si="3"/>
        <v>889.8632954407102</v>
      </c>
      <c r="J15" s="55">
        <f t="shared" si="3"/>
        <v>0</v>
      </c>
      <c r="K15" s="55">
        <f t="shared" si="3"/>
        <v>96.996814792958929</v>
      </c>
      <c r="L15" s="55">
        <f t="shared" si="3"/>
        <v>102.32834039518416</v>
      </c>
      <c r="M15" s="55">
        <f t="shared" si="3"/>
        <v>66.512101572314691</v>
      </c>
      <c r="N15" s="55">
        <f t="shared" si="3"/>
        <v>84.647206727210502</v>
      </c>
      <c r="O15" s="56">
        <f t="shared" si="4"/>
        <v>1820.9825694400258</v>
      </c>
      <c r="P15" s="57">
        <f t="shared" si="5"/>
        <v>35.018895566154342</v>
      </c>
      <c r="Q15" s="36"/>
      <c r="R15" s="38">
        <f t="shared" si="6"/>
        <v>1027.6702623984258</v>
      </c>
      <c r="S15" s="36"/>
      <c r="T15" s="40"/>
      <c r="U15" s="1"/>
    </row>
    <row r="16" spans="1:21" ht="14.4" customHeight="1">
      <c r="A16" s="51">
        <v>10</v>
      </c>
      <c r="B16" s="52" t="s">
        <v>79</v>
      </c>
      <c r="C16" s="38">
        <v>532071.65</v>
      </c>
      <c r="D16" s="43">
        <f t="shared" si="0"/>
        <v>462671.00000000006</v>
      </c>
      <c r="E16" s="43">
        <f t="shared" si="1"/>
        <v>69400.649999999965</v>
      </c>
      <c r="F16" s="53">
        <f t="shared" si="2"/>
        <v>4.0496356981262943E-2</v>
      </c>
      <c r="G16" s="54"/>
      <c r="H16" s="55">
        <f t="shared" si="3"/>
        <v>890.87935723080352</v>
      </c>
      <c r="I16" s="55">
        <f t="shared" si="3"/>
        <v>1365.3346756232802</v>
      </c>
      <c r="J16" s="55">
        <f t="shared" si="3"/>
        <v>0</v>
      </c>
      <c r="K16" s="55">
        <f t="shared" si="3"/>
        <v>148.82411190614133</v>
      </c>
      <c r="L16" s="55">
        <f t="shared" si="3"/>
        <v>157.00437601635642</v>
      </c>
      <c r="M16" s="55">
        <f t="shared" si="3"/>
        <v>102.05081959278262</v>
      </c>
      <c r="N16" s="55">
        <f t="shared" si="3"/>
        <v>129.87586647460839</v>
      </c>
      <c r="O16" s="56">
        <f t="shared" si="4"/>
        <v>2793.9692068439722</v>
      </c>
      <c r="P16" s="57">
        <f t="shared" si="5"/>
        <v>53.730177054691772</v>
      </c>
      <c r="Q16" s="36"/>
      <c r="R16" s="38">
        <f t="shared" si="6"/>
        <v>1576.7746029625205</v>
      </c>
      <c r="S16" s="36"/>
      <c r="T16" s="40"/>
      <c r="U16" s="1"/>
    </row>
    <row r="17" spans="1:21" ht="14.4" customHeight="1">
      <c r="A17" s="51">
        <v>11</v>
      </c>
      <c r="B17" s="52" t="s">
        <v>80</v>
      </c>
      <c r="C17" s="38">
        <v>533447.05000000005</v>
      </c>
      <c r="D17" s="43">
        <f t="shared" si="0"/>
        <v>463867.00000000006</v>
      </c>
      <c r="E17" s="43">
        <f t="shared" si="1"/>
        <v>69580.049999999988</v>
      </c>
      <c r="F17" s="53">
        <f t="shared" si="2"/>
        <v>4.0601039667123071E-2</v>
      </c>
      <c r="G17" s="54"/>
      <c r="H17" s="55">
        <f t="shared" ref="H17:N30" si="7">IF(H$3=$C$1,$F17*H$4,H$4/22)</f>
        <v>893.18227163704046</v>
      </c>
      <c r="I17" s="55">
        <f t="shared" si="7"/>
        <v>1368.8640523770543</v>
      </c>
      <c r="J17" s="55">
        <f t="shared" si="7"/>
        <v>0</v>
      </c>
      <c r="K17" s="55">
        <f t="shared" si="7"/>
        <v>149.20882077667727</v>
      </c>
      <c r="L17" s="55">
        <f t="shared" si="7"/>
        <v>157.41023078943616</v>
      </c>
      <c r="M17" s="55">
        <f t="shared" si="7"/>
        <v>102.31461996115014</v>
      </c>
      <c r="N17" s="55">
        <f t="shared" si="7"/>
        <v>130.21159431643042</v>
      </c>
      <c r="O17" s="56">
        <f t="shared" si="4"/>
        <v>2801.191589857789</v>
      </c>
      <c r="P17" s="57">
        <f t="shared" si="5"/>
        <v>53.86906903572671</v>
      </c>
      <c r="Q17" s="36"/>
      <c r="R17" s="38">
        <f t="shared" si="6"/>
        <v>1580.8505498559787</v>
      </c>
      <c r="S17" s="36"/>
      <c r="T17" s="40"/>
      <c r="U17" s="1"/>
    </row>
    <row r="18" spans="1:21" ht="14.4" customHeight="1">
      <c r="A18" s="51">
        <v>12</v>
      </c>
      <c r="B18" s="52" t="s">
        <v>81</v>
      </c>
      <c r="C18" s="38">
        <v>533447.05000000005</v>
      </c>
      <c r="D18" s="43">
        <f t="shared" si="0"/>
        <v>463867.00000000006</v>
      </c>
      <c r="E18" s="43">
        <f t="shared" si="1"/>
        <v>69580.049999999988</v>
      </c>
      <c r="F18" s="53">
        <f t="shared" si="2"/>
        <v>4.0601039667123071E-2</v>
      </c>
      <c r="G18" s="54"/>
      <c r="H18" s="55">
        <f t="shared" si="7"/>
        <v>893.18227163704046</v>
      </c>
      <c r="I18" s="55">
        <f t="shared" si="7"/>
        <v>1368.8640523770543</v>
      </c>
      <c r="J18" s="55">
        <f t="shared" si="7"/>
        <v>0</v>
      </c>
      <c r="K18" s="55">
        <f t="shared" si="7"/>
        <v>149.20882077667727</v>
      </c>
      <c r="L18" s="55">
        <f t="shared" si="7"/>
        <v>157.41023078943616</v>
      </c>
      <c r="M18" s="55">
        <f t="shared" si="7"/>
        <v>102.31461996115014</v>
      </c>
      <c r="N18" s="55">
        <f t="shared" si="7"/>
        <v>130.21159431643042</v>
      </c>
      <c r="O18" s="56">
        <f t="shared" si="4"/>
        <v>2801.191589857789</v>
      </c>
      <c r="P18" s="57">
        <f t="shared" si="5"/>
        <v>53.86906903572671</v>
      </c>
      <c r="Q18" s="36"/>
      <c r="R18" s="38">
        <f t="shared" si="6"/>
        <v>1580.8505498559787</v>
      </c>
      <c r="S18" s="36"/>
      <c r="T18" s="40"/>
      <c r="U18" s="1"/>
    </row>
    <row r="19" spans="1:21" ht="14.4" customHeight="1">
      <c r="A19" s="51">
        <v>13</v>
      </c>
      <c r="B19" s="52" t="s">
        <v>82</v>
      </c>
      <c r="C19" s="38">
        <v>531119.44999999995</v>
      </c>
      <c r="D19" s="43">
        <f t="shared" si="0"/>
        <v>461843</v>
      </c>
      <c r="E19" s="43">
        <f t="shared" si="1"/>
        <v>69276.449999999953</v>
      </c>
      <c r="F19" s="53">
        <f t="shared" si="2"/>
        <v>4.042388435259054E-2</v>
      </c>
      <c r="G19" s="54"/>
      <c r="H19" s="55">
        <f t="shared" si="7"/>
        <v>889.28503187263925</v>
      </c>
      <c r="I19" s="55">
        <f t="shared" si="7"/>
        <v>1362.8912609475901</v>
      </c>
      <c r="J19" s="55">
        <f t="shared" si="7"/>
        <v>0</v>
      </c>
      <c r="K19" s="55">
        <f t="shared" si="7"/>
        <v>148.55777499577025</v>
      </c>
      <c r="L19" s="55">
        <f t="shared" si="7"/>
        <v>156.72339963499351</v>
      </c>
      <c r="M19" s="55">
        <f t="shared" si="7"/>
        <v>101.86818856852817</v>
      </c>
      <c r="N19" s="55">
        <f t="shared" si="7"/>
        <v>129.64343950719314</v>
      </c>
      <c r="O19" s="56">
        <f t="shared" si="4"/>
        <v>2788.9690955267147</v>
      </c>
      <c r="P19" s="57">
        <f t="shared" si="5"/>
        <v>53.634021067821436</v>
      </c>
      <c r="Q19" s="36"/>
      <c r="R19" s="38">
        <f t="shared" si="6"/>
        <v>1573.9527935747415</v>
      </c>
      <c r="S19" s="36"/>
      <c r="T19" s="40"/>
      <c r="U19" s="1"/>
    </row>
    <row r="20" spans="1:21" ht="14.4" customHeight="1">
      <c r="A20" s="51">
        <v>14</v>
      </c>
      <c r="B20" s="52" t="s">
        <v>83</v>
      </c>
      <c r="C20" s="38">
        <v>533447.05000000005</v>
      </c>
      <c r="D20" s="43">
        <f t="shared" si="0"/>
        <v>463867.00000000006</v>
      </c>
      <c r="E20" s="43">
        <f t="shared" si="1"/>
        <v>69580.049999999988</v>
      </c>
      <c r="F20" s="53">
        <f t="shared" si="2"/>
        <v>4.0601039667123071E-2</v>
      </c>
      <c r="G20" s="54"/>
      <c r="H20" s="55">
        <f t="shared" si="7"/>
        <v>893.18227163704046</v>
      </c>
      <c r="I20" s="55">
        <f t="shared" si="7"/>
        <v>1368.8640523770543</v>
      </c>
      <c r="J20" s="55">
        <f t="shared" si="7"/>
        <v>0</v>
      </c>
      <c r="K20" s="55">
        <f t="shared" si="7"/>
        <v>149.20882077667727</v>
      </c>
      <c r="L20" s="55">
        <f t="shared" si="7"/>
        <v>157.41023078943616</v>
      </c>
      <c r="M20" s="55">
        <f t="shared" si="7"/>
        <v>102.31461996115014</v>
      </c>
      <c r="N20" s="55">
        <f t="shared" si="7"/>
        <v>130.21159431643042</v>
      </c>
      <c r="O20" s="56">
        <f t="shared" si="4"/>
        <v>2801.191589857789</v>
      </c>
      <c r="P20" s="57">
        <f t="shared" si="5"/>
        <v>53.86906903572671</v>
      </c>
      <c r="Q20" s="36"/>
      <c r="R20" s="38">
        <f t="shared" si="6"/>
        <v>1580.8505498559787</v>
      </c>
      <c r="S20" s="36"/>
      <c r="T20" s="40"/>
      <c r="U20" s="1"/>
    </row>
    <row r="21" spans="1:21" ht="14.4" customHeight="1">
      <c r="A21" s="51">
        <v>15</v>
      </c>
      <c r="B21" s="52" t="s">
        <v>84</v>
      </c>
      <c r="C21" s="38">
        <v>533447.05000000005</v>
      </c>
      <c r="D21" s="43">
        <f t="shared" si="0"/>
        <v>463867.00000000006</v>
      </c>
      <c r="E21" s="43">
        <f t="shared" si="1"/>
        <v>69580.049999999988</v>
      </c>
      <c r="F21" s="53">
        <f t="shared" si="2"/>
        <v>4.0601039667123071E-2</v>
      </c>
      <c r="G21" s="54"/>
      <c r="H21" s="55">
        <f t="shared" si="7"/>
        <v>893.18227163704046</v>
      </c>
      <c r="I21" s="55">
        <f t="shared" si="7"/>
        <v>1368.8640523770543</v>
      </c>
      <c r="J21" s="55">
        <f t="shared" si="7"/>
        <v>0</v>
      </c>
      <c r="K21" s="55">
        <f t="shared" si="7"/>
        <v>149.20882077667727</v>
      </c>
      <c r="L21" s="55">
        <f t="shared" si="7"/>
        <v>157.41023078943616</v>
      </c>
      <c r="M21" s="55">
        <f t="shared" si="7"/>
        <v>102.31461996115014</v>
      </c>
      <c r="N21" s="55">
        <f t="shared" si="7"/>
        <v>130.21159431643042</v>
      </c>
      <c r="O21" s="56">
        <f t="shared" si="4"/>
        <v>2801.191589857789</v>
      </c>
      <c r="P21" s="57">
        <f t="shared" si="5"/>
        <v>53.86906903572671</v>
      </c>
      <c r="Q21" s="36"/>
      <c r="R21" s="38">
        <f t="shared" si="6"/>
        <v>1580.8505498559787</v>
      </c>
      <c r="S21" s="36"/>
      <c r="T21" s="40"/>
      <c r="U21" s="1"/>
    </row>
    <row r="22" spans="1:21" ht="14.4" customHeight="1">
      <c r="A22" s="51">
        <v>16</v>
      </c>
      <c r="B22" s="52" t="s">
        <v>85</v>
      </c>
      <c r="C22" s="38">
        <v>656583.30000000005</v>
      </c>
      <c r="D22" s="43">
        <f t="shared" si="0"/>
        <v>570942.00000000012</v>
      </c>
      <c r="E22" s="43">
        <f t="shared" si="1"/>
        <v>85641.29999999993</v>
      </c>
      <c r="F22" s="53">
        <f t="shared" si="2"/>
        <v>4.9973028453471749E-2</v>
      </c>
      <c r="G22" s="54"/>
      <c r="H22" s="55">
        <f t="shared" si="7"/>
        <v>1099.3566529479251</v>
      </c>
      <c r="I22" s="55">
        <f t="shared" si="7"/>
        <v>1684.8406543087999</v>
      </c>
      <c r="J22" s="55">
        <f t="shared" si="7"/>
        <v>0</v>
      </c>
      <c r="K22" s="55">
        <f t="shared" si="7"/>
        <v>183.65087956650868</v>
      </c>
      <c r="L22" s="55">
        <f t="shared" si="7"/>
        <v>193.74543131410996</v>
      </c>
      <c r="M22" s="55">
        <f t="shared" si="7"/>
        <v>125.9320317027488</v>
      </c>
      <c r="N22" s="55">
        <f t="shared" si="7"/>
        <v>160.26849955312926</v>
      </c>
      <c r="O22" s="56">
        <f t="shared" si="4"/>
        <v>3447.7941493932217</v>
      </c>
      <c r="P22" s="57">
        <f t="shared" si="5"/>
        <v>66.303733642177335</v>
      </c>
      <c r="Q22" s="36"/>
      <c r="R22" s="38">
        <f t="shared" si="6"/>
        <v>1945.7602602381116</v>
      </c>
      <c r="S22" s="36"/>
      <c r="T22" s="40"/>
      <c r="U22" s="1"/>
    </row>
    <row r="23" spans="1:21" ht="14.4" customHeight="1">
      <c r="A23" s="51">
        <f t="shared" ref="A23:A30" si="8">A22+1</f>
        <v>17</v>
      </c>
      <c r="B23" s="52" t="s">
        <v>86</v>
      </c>
      <c r="C23" s="38">
        <v>653404.69999999995</v>
      </c>
      <c r="D23" s="43">
        <f t="shared" si="0"/>
        <v>568178</v>
      </c>
      <c r="E23" s="43">
        <f t="shared" si="1"/>
        <v>85226.699999999953</v>
      </c>
      <c r="F23" s="53">
        <f t="shared" si="2"/>
        <v>4.9731102915246496E-2</v>
      </c>
      <c r="G23" s="54"/>
      <c r="H23" s="55">
        <f t="shared" si="7"/>
        <v>1094.0345330325076</v>
      </c>
      <c r="I23" s="55">
        <f t="shared" si="7"/>
        <v>1676.6841347875356</v>
      </c>
      <c r="J23" s="55">
        <f t="shared" si="7"/>
        <v>0</v>
      </c>
      <c r="K23" s="55">
        <f t="shared" si="7"/>
        <v>182.76180321353087</v>
      </c>
      <c r="L23" s="55">
        <f t="shared" si="7"/>
        <v>192.80748600241066</v>
      </c>
      <c r="M23" s="55">
        <f t="shared" si="7"/>
        <v>125.32237934642117</v>
      </c>
      <c r="N23" s="55">
        <f t="shared" si="7"/>
        <v>159.49262015948705</v>
      </c>
      <c r="O23" s="56">
        <f t="shared" si="4"/>
        <v>3431.1029565418935</v>
      </c>
      <c r="P23" s="57">
        <f t="shared" si="5"/>
        <v>65.982749164267176</v>
      </c>
      <c r="Q23" s="36"/>
      <c r="R23" s="38">
        <f t="shared" si="6"/>
        <v>1936.3405970161059</v>
      </c>
      <c r="S23" s="36"/>
      <c r="T23" s="40"/>
      <c r="U23" s="1"/>
    </row>
    <row r="24" spans="1:21" ht="14.4" customHeight="1">
      <c r="A24" s="51">
        <f t="shared" si="8"/>
        <v>18</v>
      </c>
      <c r="B24" s="52" t="s">
        <v>87</v>
      </c>
      <c r="C24" s="38">
        <v>650204.25</v>
      </c>
      <c r="D24" s="43">
        <f t="shared" si="0"/>
        <v>565395</v>
      </c>
      <c r="E24" s="43">
        <f t="shared" si="1"/>
        <v>84809.25</v>
      </c>
      <c r="F24" s="53">
        <f t="shared" si="2"/>
        <v>4.9487514357764287E-2</v>
      </c>
      <c r="G24" s="54"/>
      <c r="H24" s="55">
        <f t="shared" si="7"/>
        <v>1088.6758283564566</v>
      </c>
      <c r="I24" s="55">
        <f t="shared" si="7"/>
        <v>1668.4715465720228</v>
      </c>
      <c r="J24" s="55">
        <f t="shared" si="7"/>
        <v>0</v>
      </c>
      <c r="K24" s="55">
        <f t="shared" si="7"/>
        <v>181.86661526478375</v>
      </c>
      <c r="L24" s="55">
        <f t="shared" si="7"/>
        <v>191.86309316505213</v>
      </c>
      <c r="M24" s="55">
        <f t="shared" si="7"/>
        <v>124.708536181566</v>
      </c>
      <c r="N24" s="55">
        <f t="shared" si="7"/>
        <v>158.71140729678586</v>
      </c>
      <c r="O24" s="56">
        <f t="shared" si="4"/>
        <v>3414.297026836668</v>
      </c>
      <c r="P24" s="57">
        <f t="shared" si="5"/>
        <v>65.659558208397456</v>
      </c>
      <c r="Q24" s="36"/>
      <c r="R24" s="38">
        <f t="shared" si="6"/>
        <v>1926.8561821294056</v>
      </c>
      <c r="S24" s="36"/>
      <c r="T24" s="40"/>
      <c r="U24" s="1"/>
    </row>
    <row r="25" spans="1:21" ht="14.4" customHeight="1">
      <c r="A25" s="51">
        <f t="shared" si="8"/>
        <v>19</v>
      </c>
      <c r="B25" s="52" t="s">
        <v>88</v>
      </c>
      <c r="C25" s="38">
        <v>653404.69999999995</v>
      </c>
      <c r="D25" s="43">
        <f t="shared" si="0"/>
        <v>568178</v>
      </c>
      <c r="E25" s="43">
        <f t="shared" si="1"/>
        <v>85226.699999999953</v>
      </c>
      <c r="F25" s="53">
        <f t="shared" si="2"/>
        <v>4.9731102915246496E-2</v>
      </c>
      <c r="G25" s="54"/>
      <c r="H25" s="55">
        <f t="shared" si="7"/>
        <v>1094.0345330325076</v>
      </c>
      <c r="I25" s="55">
        <f t="shared" si="7"/>
        <v>1676.6841347875356</v>
      </c>
      <c r="J25" s="55">
        <f t="shared" si="7"/>
        <v>0</v>
      </c>
      <c r="K25" s="55">
        <f t="shared" si="7"/>
        <v>182.76180321353087</v>
      </c>
      <c r="L25" s="55">
        <f t="shared" si="7"/>
        <v>192.80748600241066</v>
      </c>
      <c r="M25" s="55">
        <f t="shared" si="7"/>
        <v>125.32237934642117</v>
      </c>
      <c r="N25" s="55">
        <f t="shared" si="7"/>
        <v>159.49262015948705</v>
      </c>
      <c r="O25" s="56">
        <f t="shared" si="4"/>
        <v>3431.1029565418935</v>
      </c>
      <c r="P25" s="57">
        <f t="shared" si="5"/>
        <v>65.982749164267176</v>
      </c>
      <c r="Q25" s="36"/>
      <c r="R25" s="38">
        <f t="shared" si="6"/>
        <v>1936.3405970161059</v>
      </c>
      <c r="S25" s="36"/>
      <c r="T25" s="40"/>
      <c r="U25" s="1"/>
    </row>
    <row r="26" spans="1:21" ht="14.4" customHeight="1">
      <c r="A26" s="51">
        <f t="shared" si="8"/>
        <v>20</v>
      </c>
      <c r="B26" s="52" t="s">
        <v>89</v>
      </c>
      <c r="C26" s="38">
        <v>654132.65</v>
      </c>
      <c r="D26" s="43">
        <f t="shared" si="0"/>
        <v>568811.00000000012</v>
      </c>
      <c r="E26" s="43">
        <f t="shared" si="1"/>
        <v>85321.649999999907</v>
      </c>
      <c r="F26" s="53">
        <f t="shared" si="2"/>
        <v>4.9786507714702576E-2</v>
      </c>
      <c r="G26" s="54"/>
      <c r="H26" s="55">
        <f t="shared" si="7"/>
        <v>1095.2533832157419</v>
      </c>
      <c r="I26" s="55">
        <f t="shared" si="7"/>
        <v>1678.5521076011973</v>
      </c>
      <c r="J26" s="55">
        <f t="shared" si="7"/>
        <v>0</v>
      </c>
      <c r="K26" s="55">
        <f t="shared" si="7"/>
        <v>182.96541585153196</v>
      </c>
      <c r="L26" s="55">
        <f t="shared" si="7"/>
        <v>193.0222904099019</v>
      </c>
      <c r="M26" s="55">
        <f t="shared" si="7"/>
        <v>125.46199944105049</v>
      </c>
      <c r="N26" s="55">
        <f t="shared" si="7"/>
        <v>159.67030889182266</v>
      </c>
      <c r="O26" s="56">
        <f t="shared" si="4"/>
        <v>3434.9255054112459</v>
      </c>
      <c r="P26" s="57">
        <f t="shared" si="5"/>
        <v>66.056259719447041</v>
      </c>
      <c r="Q26" s="36"/>
      <c r="R26" s="38">
        <f t="shared" si="6"/>
        <v>1938.497849845169</v>
      </c>
      <c r="S26" s="36"/>
      <c r="T26" s="40"/>
      <c r="U26" s="1"/>
    </row>
    <row r="27" spans="1:21" ht="14.4" customHeight="1">
      <c r="A27" s="51">
        <f t="shared" si="8"/>
        <v>21</v>
      </c>
      <c r="B27" s="52" t="s">
        <v>90</v>
      </c>
      <c r="C27" s="38">
        <v>661385.69999999995</v>
      </c>
      <c r="D27" s="43">
        <f t="shared" si="0"/>
        <v>575118</v>
      </c>
      <c r="E27" s="43">
        <f t="shared" si="1"/>
        <v>86267.699999999953</v>
      </c>
      <c r="F27" s="53">
        <f t="shared" si="2"/>
        <v>5.0338542580689039E-2</v>
      </c>
      <c r="G27" s="54"/>
      <c r="H27" s="55">
        <f t="shared" si="7"/>
        <v>1107.397598232578</v>
      </c>
      <c r="I27" s="55">
        <f t="shared" si="7"/>
        <v>1697.1639631079308</v>
      </c>
      <c r="J27" s="55">
        <f t="shared" si="7"/>
        <v>0</v>
      </c>
      <c r="K27" s="55">
        <f t="shared" si="7"/>
        <v>184.99414398403221</v>
      </c>
      <c r="L27" s="55">
        <f t="shared" si="7"/>
        <v>195.16252958533141</v>
      </c>
      <c r="M27" s="55">
        <f t="shared" si="7"/>
        <v>126.85312730333638</v>
      </c>
      <c r="N27" s="55">
        <f t="shared" si="7"/>
        <v>161.44073991052784</v>
      </c>
      <c r="O27" s="56">
        <f t="shared" si="4"/>
        <v>3473.0121021237369</v>
      </c>
      <c r="P27" s="57">
        <f t="shared" si="5"/>
        <v>66.788694271610325</v>
      </c>
      <c r="Q27" s="36"/>
      <c r="R27" s="38">
        <f t="shared" si="6"/>
        <v>1959.9919945416909</v>
      </c>
      <c r="S27" s="36"/>
      <c r="T27" s="40"/>
      <c r="U27" s="1"/>
    </row>
    <row r="28" spans="1:21" ht="14.4" customHeight="1">
      <c r="A28" s="51">
        <f t="shared" si="8"/>
        <v>22</v>
      </c>
      <c r="B28" s="52" t="s">
        <v>91</v>
      </c>
      <c r="C28" s="38">
        <v>394087.75</v>
      </c>
      <c r="D28" s="43">
        <f t="shared" si="0"/>
        <v>342685</v>
      </c>
      <c r="E28" s="43">
        <f t="shared" si="1"/>
        <v>51402.75</v>
      </c>
      <c r="F28" s="53">
        <f t="shared" si="2"/>
        <v>2.9994302846134923E-2</v>
      </c>
      <c r="G28" s="54"/>
      <c r="H28" s="55">
        <f t="shared" si="7"/>
        <v>659.84466831212217</v>
      </c>
      <c r="I28" s="55">
        <f t="shared" si="7"/>
        <v>1011.2579204574389</v>
      </c>
      <c r="J28" s="55">
        <f t="shared" si="7"/>
        <v>0</v>
      </c>
      <c r="K28" s="55">
        <f t="shared" si="7"/>
        <v>110.22906295954584</v>
      </c>
      <c r="L28" s="55">
        <f t="shared" si="7"/>
        <v>116.2879121344651</v>
      </c>
      <c r="M28" s="55">
        <f t="shared" si="7"/>
        <v>75.585643172260006</v>
      </c>
      <c r="N28" s="55">
        <f t="shared" si="7"/>
        <v>96.19472865783932</v>
      </c>
      <c r="O28" s="56">
        <f t="shared" si="4"/>
        <v>2069.3999356936715</v>
      </c>
      <c r="P28" s="57">
        <f t="shared" si="5"/>
        <v>39.796152609493681</v>
      </c>
      <c r="Q28" s="36"/>
      <c r="R28" s="38">
        <f t="shared" si="6"/>
        <v>1167.8644324286831</v>
      </c>
      <c r="S28" s="36"/>
      <c r="T28" s="40"/>
      <c r="U28" s="1"/>
    </row>
    <row r="29" spans="1:21" ht="14.4" customHeight="1">
      <c r="A29" s="51">
        <f t="shared" si="8"/>
        <v>23</v>
      </c>
      <c r="B29" s="52" t="s">
        <v>92</v>
      </c>
      <c r="C29" s="38">
        <v>445964.25</v>
      </c>
      <c r="D29" s="43">
        <f t="shared" si="0"/>
        <v>387795.00000000006</v>
      </c>
      <c r="E29" s="43">
        <f t="shared" si="1"/>
        <v>58169.249999999942</v>
      </c>
      <c r="F29" s="53">
        <f t="shared" si="2"/>
        <v>3.3942660671511422E-2</v>
      </c>
      <c r="G29" s="54"/>
      <c r="H29" s="55">
        <f t="shared" si="7"/>
        <v>746.7045921125798</v>
      </c>
      <c r="I29" s="55">
        <f t="shared" si="7"/>
        <v>1144.3768045400077</v>
      </c>
      <c r="J29" s="55">
        <f t="shared" si="7"/>
        <v>0</v>
      </c>
      <c r="K29" s="55">
        <f t="shared" si="7"/>
        <v>124.73927796780448</v>
      </c>
      <c r="L29" s="55">
        <f t="shared" si="7"/>
        <v>131.5956954234498</v>
      </c>
      <c r="M29" s="55">
        <f t="shared" si="7"/>
        <v>85.535504892208778</v>
      </c>
      <c r="N29" s="55">
        <f t="shared" si="7"/>
        <v>108.8575070396043</v>
      </c>
      <c r="O29" s="56">
        <f t="shared" si="4"/>
        <v>2341.809381975655</v>
      </c>
      <c r="P29" s="57">
        <f t="shared" si="5"/>
        <v>45.034795807224135</v>
      </c>
      <c r="Q29" s="36"/>
      <c r="R29" s="38">
        <f t="shared" si="6"/>
        <v>1321.598516344985</v>
      </c>
      <c r="S29" s="36"/>
      <c r="T29" s="40"/>
      <c r="U29" s="1"/>
    </row>
    <row r="30" spans="1:21" ht="14.4" customHeight="1">
      <c r="A30" s="51">
        <f t="shared" si="8"/>
        <v>24</v>
      </c>
      <c r="B30" s="52" t="s">
        <v>93</v>
      </c>
      <c r="C30" s="38">
        <v>559078.25</v>
      </c>
      <c r="D30" s="43">
        <f t="shared" si="0"/>
        <v>486155.00000000006</v>
      </c>
      <c r="E30" s="43">
        <f t="shared" si="1"/>
        <v>72923.249999999942</v>
      </c>
      <c r="F30" s="53">
        <f t="shared" si="2"/>
        <v>4.2551848782884351E-2</v>
      </c>
      <c r="G30" s="54"/>
      <c r="H30" s="55">
        <f t="shared" si="7"/>
        <v>936.09812137467281</v>
      </c>
      <c r="I30" s="55">
        <f t="shared" si="7"/>
        <v>1434.6355817149458</v>
      </c>
      <c r="J30" s="55">
        <f t="shared" si="7"/>
        <v>0</v>
      </c>
      <c r="K30" s="55">
        <f t="shared" si="7"/>
        <v>156.3780442771</v>
      </c>
      <c r="L30" s="55">
        <f t="shared" si="7"/>
        <v>164.97351773124262</v>
      </c>
      <c r="M30" s="55">
        <f t="shared" si="7"/>
        <v>107.23065893286856</v>
      </c>
      <c r="N30" s="55">
        <f t="shared" si="7"/>
        <v>136.4680342315884</v>
      </c>
      <c r="O30" s="56">
        <f t="shared" si="4"/>
        <v>2935.7839582624183</v>
      </c>
      <c r="P30" s="57">
        <f t="shared" si="5"/>
        <v>56.457383812738811</v>
      </c>
      <c r="Q30" s="36"/>
      <c r="R30" s="38">
        <f t="shared" si="6"/>
        <v>1656.8076605260414</v>
      </c>
      <c r="S30" s="36"/>
      <c r="T30" s="40"/>
      <c r="U30" s="1"/>
    </row>
    <row r="31" spans="1:21" ht="14.4" customHeight="1">
      <c r="A31" s="35"/>
      <c r="B31" s="36"/>
      <c r="C31" s="58">
        <f>SUM(C7:C30)</f>
        <v>13138753.449999999</v>
      </c>
      <c r="D31" s="59">
        <f>SUM(D7:D30)</f>
        <v>11425003</v>
      </c>
      <c r="E31" s="58">
        <f>SUM(E7:E30)</f>
        <v>1713750.4499999995</v>
      </c>
      <c r="F31" s="60">
        <f t="shared" si="2"/>
        <v>1</v>
      </c>
      <c r="G31" s="61"/>
      <c r="H31" s="62">
        <f t="shared" ref="H31:O31" si="9">SUM(H7:H30)</f>
        <v>21999.000000000007</v>
      </c>
      <c r="I31" s="62">
        <f t="shared" si="9"/>
        <v>33714.999999999993</v>
      </c>
      <c r="J31" s="62">
        <f t="shared" si="9"/>
        <v>0</v>
      </c>
      <c r="K31" s="62">
        <f t="shared" si="9"/>
        <v>3675.0000000000005</v>
      </c>
      <c r="L31" s="62">
        <f t="shared" si="9"/>
        <v>3877.0000000000009</v>
      </c>
      <c r="M31" s="62">
        <f t="shared" si="9"/>
        <v>2520.0000000000009</v>
      </c>
      <c r="N31" s="62">
        <f t="shared" si="9"/>
        <v>3207.1</v>
      </c>
      <c r="O31" s="56">
        <f t="shared" si="9"/>
        <v>68993.100000000006</v>
      </c>
      <c r="P31" s="63"/>
      <c r="Q31" s="36"/>
      <c r="R31" s="62">
        <v>36388.980000000003</v>
      </c>
      <c r="S31" s="36"/>
      <c r="T31" s="40"/>
      <c r="U31" s="1"/>
    </row>
    <row r="32" spans="1:21" ht="14.4" customHeight="1">
      <c r="A32" s="1"/>
      <c r="B32" s="64"/>
      <c r="C32" s="64"/>
      <c r="D32" s="65"/>
      <c r="E32" s="64"/>
      <c r="F32" s="64"/>
      <c r="G32" s="65"/>
      <c r="H32" s="65"/>
      <c r="I32" s="65"/>
      <c r="J32" s="65"/>
      <c r="K32" s="65"/>
      <c r="L32" s="65"/>
      <c r="M32" s="64"/>
      <c r="N32" s="65"/>
      <c r="O32" s="65"/>
      <c r="P32" s="66"/>
      <c r="Q32" s="64"/>
      <c r="R32" s="65"/>
      <c r="S32" s="64"/>
      <c r="T32" s="1"/>
      <c r="U32" s="1"/>
    </row>
    <row r="33" spans="1:21" ht="72" customHeight="1">
      <c r="A33" s="1"/>
      <c r="B33" s="1"/>
      <c r="C33" s="1"/>
      <c r="D33" s="1"/>
      <c r="E33" s="1"/>
      <c r="F33" s="1"/>
      <c r="G33" s="67"/>
      <c r="H33" s="1"/>
      <c r="I33" s="1"/>
      <c r="J33" s="3" t="s">
        <v>94</v>
      </c>
      <c r="K33" s="1"/>
      <c r="L33" s="92" t="s">
        <v>137</v>
      </c>
      <c r="M33" s="1"/>
      <c r="N33" s="91" t="s">
        <v>95</v>
      </c>
      <c r="O33" s="94" t="s">
        <v>96</v>
      </c>
      <c r="P33" s="69"/>
      <c r="Q33" s="1"/>
      <c r="R33" s="1"/>
      <c r="S33" s="1"/>
      <c r="T33" s="1"/>
      <c r="U33" s="1"/>
    </row>
    <row r="34" spans="1:21" ht="14.4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70">
        <f>O31-50000</f>
        <v>18993.100000000006</v>
      </c>
      <c r="P34" s="4"/>
      <c r="Q34" s="1"/>
      <c r="R34" s="1"/>
      <c r="S34" s="1"/>
      <c r="T34" s="1"/>
      <c r="U34" s="1"/>
    </row>
    <row r="35" spans="1:21" ht="14.4" customHeight="1">
      <c r="A35" s="1"/>
      <c r="B35" s="3" t="s">
        <v>97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4"/>
      <c r="Q35" s="1"/>
      <c r="R35" s="1"/>
      <c r="S35" s="1"/>
      <c r="T35" s="1"/>
      <c r="U35" s="1"/>
    </row>
    <row r="36" spans="1:21" ht="14.4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4"/>
      <c r="Q36" s="1"/>
      <c r="R36" s="1"/>
      <c r="S36" s="1"/>
      <c r="T36" s="1"/>
      <c r="U36" s="1"/>
    </row>
    <row r="37" spans="1:21" ht="14.4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4"/>
      <c r="Q37" s="1"/>
      <c r="R37" s="1"/>
      <c r="S37" s="1"/>
      <c r="T37" s="1"/>
      <c r="U37" s="1"/>
    </row>
    <row r="38" spans="1:21" ht="14.4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4"/>
      <c r="Q38" s="1"/>
      <c r="R38" s="1"/>
      <c r="S38" s="1"/>
      <c r="T38" s="1"/>
      <c r="U38" s="1"/>
    </row>
    <row r="39" spans="1:21" ht="14.4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3" t="s">
        <v>98</v>
      </c>
      <c r="N39" s="1"/>
      <c r="O39" s="1"/>
      <c r="P39" s="2">
        <v>2018</v>
      </c>
      <c r="Q39" s="1"/>
      <c r="R39" s="1"/>
      <c r="S39" s="1"/>
      <c r="T39" s="1"/>
      <c r="U39" s="1"/>
    </row>
    <row r="40" spans="1:21" ht="14.4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3" t="s">
        <v>99</v>
      </c>
      <c r="M40" s="71">
        <f>P40*$O$40</f>
        <v>315</v>
      </c>
      <c r="N40" s="1"/>
      <c r="O40" s="71">
        <v>1.05</v>
      </c>
      <c r="P40" s="2">
        <v>300</v>
      </c>
      <c r="Q40" s="1"/>
      <c r="R40" s="1"/>
      <c r="S40" s="1"/>
      <c r="T40" s="1"/>
      <c r="U40" s="1"/>
    </row>
    <row r="41" spans="1:21" ht="14.4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4"/>
      <c r="Q41" s="1"/>
      <c r="R41" s="1"/>
      <c r="S41" s="1"/>
      <c r="T41" s="1"/>
      <c r="U41" s="1"/>
    </row>
    <row r="42" spans="1:21" ht="14.4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3" t="s">
        <v>99</v>
      </c>
      <c r="M42" s="71">
        <f>P42*$O$40</f>
        <v>315</v>
      </c>
      <c r="N42" s="1"/>
      <c r="O42" s="1"/>
      <c r="P42" s="2">
        <v>300</v>
      </c>
      <c r="Q42" s="1"/>
      <c r="R42" s="1"/>
      <c r="S42" s="1"/>
      <c r="T42" s="1"/>
      <c r="U42" s="1"/>
    </row>
    <row r="43" spans="1:21" ht="14.4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3" t="s">
        <v>99</v>
      </c>
      <c r="M43" s="71">
        <f>P43*$O$40</f>
        <v>315</v>
      </c>
      <c r="N43" s="1"/>
      <c r="O43" s="1"/>
      <c r="P43" s="2">
        <v>300</v>
      </c>
      <c r="Q43" s="1"/>
      <c r="R43" s="1"/>
      <c r="S43" s="1"/>
      <c r="T43" s="1"/>
      <c r="U43" s="72"/>
    </row>
    <row r="44" spans="1:21" ht="14.4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4"/>
      <c r="Q44" s="1"/>
      <c r="R44" s="1"/>
      <c r="S44" s="1"/>
      <c r="T44" s="1"/>
      <c r="U44" s="1"/>
    </row>
    <row r="45" spans="1:21" ht="14.4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3" t="s">
        <v>99</v>
      </c>
      <c r="M45" s="71">
        <f>P45*$O$40</f>
        <v>1575</v>
      </c>
      <c r="N45" s="1"/>
      <c r="O45" s="1"/>
      <c r="P45" s="2">
        <v>1500</v>
      </c>
      <c r="Q45" s="1"/>
      <c r="R45" s="1"/>
      <c r="S45" s="1"/>
      <c r="T45" s="1"/>
      <c r="U45" s="1"/>
    </row>
    <row r="46" spans="1:21" ht="14.4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3" t="s">
        <v>100</v>
      </c>
      <c r="M46" s="71">
        <v>0</v>
      </c>
      <c r="N46" s="1"/>
      <c r="O46" s="1"/>
      <c r="P46" s="2">
        <v>2500</v>
      </c>
      <c r="Q46" s="1"/>
      <c r="R46" s="1"/>
      <c r="S46" s="1"/>
      <c r="T46" s="1"/>
      <c r="U46" s="1"/>
    </row>
    <row r="47" spans="1:21" ht="14.4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4"/>
      <c r="Q47" s="1"/>
      <c r="R47" s="1"/>
      <c r="S47" s="1"/>
      <c r="T47" s="1"/>
      <c r="U47" s="1"/>
    </row>
    <row r="48" spans="1:21" ht="14.4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4"/>
      <c r="Q48" s="1"/>
      <c r="R48" s="1"/>
      <c r="S48" s="1"/>
      <c r="T48" s="1"/>
      <c r="U48" s="1"/>
    </row>
    <row r="49" spans="1:21" ht="14.4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3" t="s">
        <v>101</v>
      </c>
      <c r="M49" s="71">
        <f>P49*$O$40</f>
        <v>3675</v>
      </c>
      <c r="N49" s="1"/>
      <c r="O49" s="1"/>
      <c r="P49" s="2">
        <v>3500</v>
      </c>
      <c r="Q49" s="1"/>
      <c r="R49" s="1"/>
      <c r="S49" s="1"/>
      <c r="T49" s="1"/>
      <c r="U49" s="1"/>
    </row>
    <row r="50" spans="1:21" ht="14.4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4"/>
      <c r="Q50" s="1"/>
      <c r="R50" s="1"/>
      <c r="S50" s="1"/>
      <c r="T50" s="1"/>
      <c r="U50" s="1"/>
    </row>
    <row r="51" spans="1:21" ht="14.4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4"/>
      <c r="Q51" s="1"/>
      <c r="R51" s="1"/>
      <c r="S51" s="1"/>
      <c r="T51" s="1"/>
      <c r="U51" s="1"/>
    </row>
    <row r="52" spans="1:21" ht="14.4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4"/>
      <c r="Q52" s="1"/>
      <c r="R52" s="1"/>
      <c r="S52" s="1"/>
      <c r="T52" s="1"/>
      <c r="U52" s="1"/>
    </row>
    <row r="53" spans="1:21" ht="14.4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3" t="s">
        <v>102</v>
      </c>
      <c r="M53" s="71">
        <v>0</v>
      </c>
      <c r="N53" s="1"/>
      <c r="O53" s="1"/>
      <c r="P53" s="2">
        <v>1000</v>
      </c>
      <c r="Q53" s="1"/>
      <c r="R53" s="1"/>
      <c r="S53" s="1"/>
      <c r="T53" s="1"/>
      <c r="U53" s="1"/>
    </row>
    <row r="54" spans="1:21" ht="14.4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4"/>
      <c r="Q54" s="1"/>
      <c r="R54" s="1"/>
      <c r="S54" s="1"/>
      <c r="T54" s="1"/>
      <c r="U54" s="1"/>
    </row>
    <row r="55" spans="1:21" ht="14.4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3" t="s">
        <v>103</v>
      </c>
      <c r="M55" s="71">
        <f>P55*1.2</f>
        <v>21054</v>
      </c>
      <c r="N55" s="3" t="s">
        <v>104</v>
      </c>
      <c r="O55" s="1"/>
      <c r="P55" s="2">
        <v>17545</v>
      </c>
      <c r="Q55" s="1"/>
      <c r="R55" s="1"/>
      <c r="S55" s="1"/>
      <c r="T55" s="1"/>
      <c r="U55" s="1"/>
    </row>
    <row r="56" spans="1:21" ht="14.4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3" t="s">
        <v>103</v>
      </c>
      <c r="M56" s="71">
        <f>P56*$O$40</f>
        <v>945</v>
      </c>
      <c r="N56" s="1"/>
      <c r="O56" s="1"/>
      <c r="P56" s="2">
        <v>900</v>
      </c>
      <c r="Q56" s="1"/>
      <c r="R56" s="1"/>
      <c r="S56" s="1"/>
      <c r="T56" s="1"/>
      <c r="U56" s="1"/>
    </row>
    <row r="57" spans="1:21" ht="14.4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3" t="s">
        <v>100</v>
      </c>
      <c r="M57" s="71">
        <v>1000</v>
      </c>
      <c r="N57" s="3" t="s">
        <v>105</v>
      </c>
      <c r="O57" s="1"/>
      <c r="P57" s="2">
        <v>500</v>
      </c>
      <c r="Q57" s="1"/>
      <c r="R57" s="1"/>
      <c r="S57" s="1"/>
      <c r="T57" s="1"/>
      <c r="U57" s="1"/>
    </row>
    <row r="58" spans="1:21" ht="14.4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3" t="s">
        <v>106</v>
      </c>
      <c r="O58" s="1"/>
      <c r="P58" s="4"/>
      <c r="Q58" s="1"/>
      <c r="R58" s="1"/>
      <c r="S58" s="1"/>
      <c r="T58" s="1"/>
      <c r="U58" s="1"/>
    </row>
    <row r="59" spans="1:21" ht="14.4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4"/>
      <c r="Q59" s="1"/>
      <c r="R59" s="1"/>
      <c r="S59" s="1"/>
      <c r="T59" s="1"/>
      <c r="U59" s="1"/>
    </row>
    <row r="60" spans="1:21" ht="14.4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4"/>
      <c r="Q60" s="1"/>
      <c r="R60" s="1"/>
      <c r="S60" s="1"/>
      <c r="T60" s="1"/>
      <c r="U60" s="1"/>
    </row>
    <row r="61" spans="1:21" ht="14.4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3" t="s">
        <v>100</v>
      </c>
      <c r="M61" s="71">
        <f>P61*$O$40</f>
        <v>525</v>
      </c>
      <c r="N61" s="1"/>
      <c r="O61" s="1"/>
      <c r="P61" s="2">
        <v>500</v>
      </c>
      <c r="Q61" s="1"/>
      <c r="R61" s="1"/>
      <c r="S61" s="1"/>
      <c r="T61" s="1"/>
      <c r="U61" s="1"/>
    </row>
    <row r="62" spans="1:21" ht="14.4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4"/>
      <c r="Q62" s="1"/>
      <c r="R62" s="1"/>
      <c r="S62" s="1"/>
      <c r="T62" s="1"/>
      <c r="U62" s="1"/>
    </row>
    <row r="63" spans="1:21" ht="14.4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4"/>
      <c r="Q63" s="1"/>
      <c r="R63" s="1"/>
      <c r="S63" s="1"/>
      <c r="T63" s="1"/>
      <c r="U63" s="1"/>
    </row>
    <row r="64" spans="1:21" ht="14.4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3" t="s">
        <v>102</v>
      </c>
      <c r="M64" s="71">
        <v>0</v>
      </c>
      <c r="N64" s="1"/>
      <c r="O64" s="1"/>
      <c r="P64" s="2">
        <v>2500</v>
      </c>
      <c r="Q64" s="1"/>
      <c r="R64" s="1"/>
      <c r="S64" s="1"/>
      <c r="T64" s="1"/>
      <c r="U64" s="1"/>
    </row>
    <row r="65" spans="1:21" ht="14.4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" t="s">
        <v>100</v>
      </c>
      <c r="M65" s="71">
        <f>P65*$O$40</f>
        <v>2352</v>
      </c>
      <c r="N65" s="1"/>
      <c r="O65" s="1"/>
      <c r="P65" s="2">
        <v>2240</v>
      </c>
      <c r="Q65" s="1"/>
      <c r="R65" s="1"/>
      <c r="S65" s="1"/>
      <c r="T65" s="1"/>
      <c r="U65" s="1"/>
    </row>
    <row r="66" spans="1:21" ht="14.4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4"/>
      <c r="Q66" s="1"/>
      <c r="R66" s="1"/>
      <c r="S66" s="1"/>
      <c r="T66" s="1"/>
      <c r="U66" s="1"/>
    </row>
    <row r="67" spans="1:21" ht="14.4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4"/>
      <c r="Q67" s="1"/>
      <c r="R67" s="1"/>
      <c r="S67" s="1"/>
      <c r="T67" s="1"/>
      <c r="U67" s="1"/>
    </row>
    <row r="68" spans="1:21" ht="14.4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3" t="s">
        <v>102</v>
      </c>
      <c r="M68" s="71">
        <v>0</v>
      </c>
      <c r="N68" s="3" t="s">
        <v>107</v>
      </c>
      <c r="O68" s="1"/>
      <c r="P68" s="2">
        <v>5000</v>
      </c>
      <c r="Q68" s="1"/>
      <c r="R68" s="1"/>
      <c r="S68" s="1"/>
      <c r="T68" s="1"/>
      <c r="U68" s="1"/>
    </row>
    <row r="69" spans="1:21" ht="14.4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3" t="s">
        <v>108</v>
      </c>
      <c r="M69" s="73">
        <f>Calculations!I30</f>
        <v>33715</v>
      </c>
      <c r="N69" s="1"/>
      <c r="O69" s="1"/>
      <c r="P69" s="74">
        <v>10000</v>
      </c>
      <c r="Q69" s="1"/>
      <c r="R69" s="1"/>
      <c r="S69" s="1"/>
      <c r="T69" s="1"/>
      <c r="U69" s="1"/>
    </row>
    <row r="70" spans="1:21" ht="14.4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75">
        <f>SUM(M40:M69)</f>
        <v>65786</v>
      </c>
      <c r="N70" s="3" t="s">
        <v>109</v>
      </c>
      <c r="O70" s="1"/>
      <c r="P70" s="76">
        <f>SUM(P40:P69)</f>
        <v>48585</v>
      </c>
      <c r="Q70" s="1"/>
      <c r="R70" s="1"/>
      <c r="S70" s="1"/>
      <c r="T70" s="1"/>
      <c r="U70" s="1"/>
    </row>
    <row r="71" spans="1:21" ht="14.4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77"/>
      <c r="N71" s="1"/>
      <c r="O71" s="1"/>
      <c r="P71" s="78"/>
      <c r="Q71" s="1"/>
      <c r="R71" s="1"/>
      <c r="S71" s="1"/>
      <c r="T71" s="1"/>
      <c r="U71" s="1"/>
    </row>
    <row r="72" spans="1:21" ht="14.4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77">
        <f>M70-M69</f>
        <v>32071</v>
      </c>
      <c r="N72" s="3" t="s">
        <v>110</v>
      </c>
      <c r="O72" s="1"/>
      <c r="P72" s="78">
        <f>P70-P69</f>
        <v>38585</v>
      </c>
      <c r="Q72" s="1"/>
      <c r="R72" s="1"/>
      <c r="S72" s="1"/>
      <c r="T72" s="1"/>
      <c r="U72" s="1"/>
    </row>
    <row r="73" spans="1:21" ht="14.4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4"/>
      <c r="Q73" s="1"/>
      <c r="R73" s="1"/>
      <c r="S73" s="1"/>
      <c r="T73" s="1"/>
      <c r="U73" s="1"/>
    </row>
    <row r="74" spans="1:21" ht="14.4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4"/>
      <c r="Q74" s="1"/>
      <c r="R74" s="1"/>
      <c r="S74" s="1"/>
      <c r="T74" s="1"/>
      <c r="U74" s="1"/>
    </row>
    <row r="75" spans="1:21" ht="14.4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4"/>
      <c r="Q75" s="1"/>
      <c r="R75" s="1"/>
      <c r="S75" s="1"/>
      <c r="T75" s="1"/>
      <c r="U75" s="1"/>
    </row>
    <row r="76" spans="1:21" ht="14.4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79" t="s">
        <v>111</v>
      </c>
      <c r="O76" s="1"/>
      <c r="P76" s="4"/>
      <c r="Q76" s="1"/>
      <c r="R76" s="1"/>
      <c r="S76" s="1"/>
      <c r="T76" s="1"/>
      <c r="U76" s="1"/>
    </row>
    <row r="77" spans="1:21" ht="14.4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68" t="s">
        <v>112</v>
      </c>
      <c r="N77" s="1"/>
      <c r="O77" s="1"/>
      <c r="P77" s="4"/>
      <c r="Q77" s="1"/>
      <c r="R77" s="1"/>
      <c r="S77" s="1"/>
      <c r="T77" s="1"/>
      <c r="U77" s="1"/>
    </row>
    <row r="78" spans="1:21" ht="14.4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79" t="s">
        <v>113</v>
      </c>
      <c r="N78" s="73">
        <v>1050</v>
      </c>
      <c r="O78" s="1"/>
      <c r="P78" s="4"/>
      <c r="Q78" s="1"/>
      <c r="R78" s="1"/>
      <c r="S78" s="1"/>
      <c r="T78" s="1"/>
      <c r="U78" s="1"/>
    </row>
    <row r="79" spans="1:21" ht="14.4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79" t="s">
        <v>114</v>
      </c>
      <c r="N79" s="73">
        <v>2625</v>
      </c>
      <c r="O79" s="1"/>
      <c r="P79" s="4"/>
      <c r="Q79" s="1"/>
      <c r="R79" s="1"/>
      <c r="S79" s="1"/>
      <c r="T79" s="1"/>
      <c r="U79" s="1"/>
    </row>
    <row r="80" spans="1:21" ht="14.4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79" t="s">
        <v>115</v>
      </c>
      <c r="N80" s="73">
        <v>2625</v>
      </c>
      <c r="O80" s="1"/>
      <c r="P80" s="4"/>
      <c r="Q80" s="1"/>
      <c r="R80" s="1"/>
      <c r="S80" s="1"/>
      <c r="T80" s="1"/>
      <c r="U80" s="1"/>
    </row>
    <row r="81" spans="1:21" ht="14.4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79" t="s">
        <v>116</v>
      </c>
      <c r="N81" s="73">
        <v>5250</v>
      </c>
      <c r="O81" s="1"/>
      <c r="P81" s="4"/>
      <c r="Q81" s="1"/>
      <c r="R81" s="1"/>
      <c r="S81" s="1"/>
      <c r="T81" s="1"/>
      <c r="U81" s="1"/>
    </row>
    <row r="82" spans="1:21" ht="14.4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80"/>
      <c r="N82" s="73"/>
      <c r="O82" s="1"/>
      <c r="P82" s="4"/>
      <c r="Q82" s="1"/>
      <c r="R82" s="1"/>
      <c r="S82" s="1"/>
      <c r="T82" s="1"/>
      <c r="U82" s="1"/>
    </row>
    <row r="83" spans="1:21" ht="14.4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4"/>
      <c r="Q83" s="1"/>
      <c r="R83" s="1"/>
      <c r="S83" s="1"/>
      <c r="T83" s="1"/>
      <c r="U83" s="1"/>
    </row>
    <row r="84" spans="1:21" ht="14.4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4"/>
      <c r="Q84" s="1"/>
      <c r="R84" s="1"/>
      <c r="S84" s="1"/>
      <c r="T84" s="1"/>
      <c r="U84" s="1"/>
    </row>
    <row r="85" spans="1:21" ht="14.4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4"/>
      <c r="Q85" s="1"/>
      <c r="R85" s="1"/>
      <c r="S85" s="1"/>
      <c r="T85" s="1"/>
      <c r="U85" s="1"/>
    </row>
    <row r="86" spans="1:21" ht="14.4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4"/>
      <c r="Q86" s="1"/>
      <c r="R86" s="1"/>
      <c r="S86" s="1"/>
      <c r="T86" s="1"/>
      <c r="U86" s="1"/>
    </row>
    <row r="87" spans="1:21" ht="14.4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4"/>
      <c r="Q87" s="1"/>
      <c r="R87" s="1"/>
      <c r="S87" s="1"/>
      <c r="T87" s="1"/>
      <c r="U87" s="1"/>
    </row>
    <row r="88" spans="1:21" ht="14.4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4"/>
      <c r="Q88" s="1"/>
      <c r="R88" s="1"/>
      <c r="S88" s="1"/>
      <c r="T88" s="1"/>
      <c r="U88" s="1"/>
    </row>
    <row r="89" spans="1:21" ht="14.4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4"/>
      <c r="Q89" s="1"/>
      <c r="R89" s="1"/>
      <c r="S89" s="1"/>
      <c r="T89" s="1"/>
      <c r="U89" s="1"/>
    </row>
    <row r="90" spans="1:21" ht="14.4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4"/>
      <c r="Q90" s="1"/>
      <c r="R90" s="1"/>
      <c r="S90" s="1"/>
      <c r="T90" s="1"/>
      <c r="U90" s="1"/>
    </row>
    <row r="91" spans="1:21" ht="14.4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4"/>
      <c r="Q91" s="1"/>
      <c r="R91" s="1"/>
      <c r="S91" s="1"/>
      <c r="T91" s="1"/>
      <c r="U91" s="1"/>
    </row>
    <row r="92" spans="1:21" ht="14.4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4"/>
      <c r="Q92" s="1"/>
      <c r="R92" s="1"/>
      <c r="S92" s="1"/>
      <c r="T92" s="1"/>
      <c r="U92" s="1"/>
    </row>
    <row r="93" spans="1:21" ht="14.4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4"/>
      <c r="Q93" s="1"/>
      <c r="R93" s="1"/>
      <c r="S93" s="1"/>
      <c r="T93" s="1"/>
      <c r="U93" s="1"/>
    </row>
    <row r="94" spans="1:21" ht="14.4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4"/>
      <c r="Q94" s="1"/>
      <c r="R94" s="1"/>
      <c r="S94" s="1"/>
      <c r="T94" s="1"/>
      <c r="U94" s="1"/>
    </row>
    <row r="95" spans="1:21" ht="14.4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4"/>
      <c r="Q95" s="1"/>
      <c r="R95" s="1"/>
      <c r="S95" s="1"/>
      <c r="T95" s="1"/>
      <c r="U95" s="1"/>
    </row>
    <row r="96" spans="1:21" ht="14.4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4"/>
      <c r="Q96" s="1"/>
      <c r="R96" s="1"/>
      <c r="S96" s="1"/>
      <c r="T96" s="1"/>
      <c r="U96" s="1"/>
    </row>
    <row r="97" spans="1:21" ht="14.4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4"/>
      <c r="Q97" s="1"/>
      <c r="R97" s="1"/>
      <c r="S97" s="1"/>
      <c r="T97" s="1"/>
      <c r="U97" s="1"/>
    </row>
    <row r="98" spans="1:21" ht="14.4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"/>
      <c r="Q98" s="1"/>
      <c r="R98" s="1"/>
      <c r="S98" s="1"/>
      <c r="T98" s="1"/>
      <c r="U98" s="1"/>
    </row>
    <row r="99" spans="1:21" ht="14.4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"/>
      <c r="Q99" s="1"/>
      <c r="R99" s="1"/>
      <c r="S99" s="1"/>
      <c r="T99" s="1"/>
      <c r="U99" s="1"/>
    </row>
    <row r="100" spans="1:21" ht="14.4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4"/>
      <c r="Q100" s="1"/>
      <c r="R100" s="1"/>
      <c r="S100" s="1"/>
      <c r="T100" s="1"/>
      <c r="U100" s="1"/>
    </row>
    <row r="101" spans="1:21" ht="14.4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4"/>
      <c r="Q101" s="1"/>
      <c r="R101" s="1"/>
      <c r="S101" s="1"/>
      <c r="T101" s="1"/>
      <c r="U101" s="1"/>
    </row>
    <row r="102" spans="1:21" ht="14.4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4"/>
      <c r="Q102" s="1"/>
      <c r="R102" s="1"/>
      <c r="S102" s="1"/>
      <c r="T102" s="1"/>
      <c r="U102" s="1"/>
    </row>
    <row r="103" spans="1:21" ht="14.4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4"/>
      <c r="Q103" s="1"/>
      <c r="R103" s="1"/>
      <c r="S103" s="1"/>
      <c r="T103" s="1"/>
      <c r="U103" s="1"/>
    </row>
    <row r="104" spans="1:21" ht="14.4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4"/>
      <c r="Q104" s="1"/>
      <c r="R104" s="1"/>
      <c r="S104" s="1"/>
      <c r="T104" s="1"/>
      <c r="U104" s="1"/>
    </row>
    <row r="105" spans="1:21" ht="14.4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"/>
      <c r="Q105" s="1"/>
      <c r="R105" s="1"/>
      <c r="S105" s="1"/>
      <c r="T105" s="1"/>
      <c r="U105" s="1"/>
    </row>
    <row r="106" spans="1:21" ht="14.4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"/>
      <c r="Q106" s="1"/>
      <c r="R106" s="1"/>
      <c r="S106" s="1"/>
      <c r="T106" s="1"/>
      <c r="U106" s="1"/>
    </row>
    <row r="107" spans="1:21" ht="14.4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4"/>
      <c r="Q107" s="1"/>
      <c r="R107" s="1"/>
      <c r="S107" s="1"/>
      <c r="T107" s="1"/>
      <c r="U107" s="1"/>
    </row>
    <row r="108" spans="1:21" ht="14.4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4"/>
      <c r="Q108" s="1"/>
      <c r="R108" s="1"/>
      <c r="S108" s="1"/>
      <c r="T108" s="1"/>
      <c r="U108" s="1"/>
    </row>
    <row r="109" spans="1:21" ht="14.4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4"/>
      <c r="Q109" s="1"/>
      <c r="R109" s="1"/>
      <c r="S109" s="1"/>
      <c r="T109" s="1"/>
      <c r="U109" s="1"/>
    </row>
    <row r="110" spans="1:21" ht="14.4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4"/>
      <c r="Q110" s="1"/>
      <c r="R110" s="1"/>
      <c r="S110" s="1"/>
      <c r="T110" s="1"/>
      <c r="U110" s="1"/>
    </row>
    <row r="111" spans="1:21" ht="14.4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4"/>
      <c r="Q111" s="1"/>
      <c r="R111" s="1"/>
      <c r="S111" s="1"/>
      <c r="T111" s="1"/>
      <c r="U111" s="1"/>
    </row>
    <row r="112" spans="1:21" ht="14.4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4"/>
      <c r="Q112" s="1"/>
      <c r="R112" s="1"/>
      <c r="S112" s="1"/>
      <c r="T112" s="1"/>
      <c r="U112" s="1"/>
    </row>
    <row r="113" spans="1:21" ht="14.4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4"/>
      <c r="Q113" s="1"/>
      <c r="R113" s="1"/>
      <c r="S113" s="1"/>
      <c r="T113" s="1"/>
      <c r="U113" s="1"/>
    </row>
    <row r="114" spans="1:21" ht="14.4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4"/>
      <c r="Q114" s="1"/>
      <c r="R114" s="1"/>
      <c r="S114" s="1"/>
      <c r="T114" s="1"/>
      <c r="U114" s="1"/>
    </row>
    <row r="115" spans="1:21" ht="14.4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4"/>
      <c r="Q115" s="1"/>
      <c r="R115" s="1"/>
      <c r="S115" s="1"/>
      <c r="T115" s="1"/>
      <c r="U115" s="1"/>
    </row>
  </sheetData>
  <dataValidations count="1">
    <dataValidation type="list" allowBlank="1" showInputMessage="1" showErrorMessage="1" sqref="G3:N3 R3">
      <formula1>"Ownership,Utility"</formula1>
    </dataValidation>
  </dataValidation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Calculations</vt:lpstr>
      <vt:lpstr>Body Corp Fees - Nov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 Lee</dc:creator>
  <cp:lastModifiedBy>Y Lee</cp:lastModifiedBy>
  <dcterms:created xsi:type="dcterms:W3CDTF">2020-11-09T07:04:40Z</dcterms:created>
  <dcterms:modified xsi:type="dcterms:W3CDTF">2020-11-09T08:09:11Z</dcterms:modified>
</cp:coreProperties>
</file>